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15"/>
  <workbookPr defaultThemeVersion="166925"/>
  <mc:AlternateContent xmlns:mc="http://schemas.openxmlformats.org/markup-compatibility/2006">
    <mc:Choice Requires="x15">
      <x15ac:absPath xmlns:x15ac="http://schemas.microsoft.com/office/spreadsheetml/2010/11/ac" url="https://ncconnect.sharepoint.com/sites/OSBMCross-teamProjects/Shared Documents/Federal Funds/Research/Website Content/"/>
    </mc:Choice>
  </mc:AlternateContent>
  <xr:revisionPtr revIDLastSave="0" documentId="8_{3375591D-C770-4985-A6B0-D66F5838505D}" xr6:coauthVersionLast="47" xr6:coauthVersionMax="47" xr10:uidLastSave="{00000000-0000-0000-0000-000000000000}"/>
  <bookViews>
    <workbookView xWindow="-120" yWindow="-120" windowWidth="22800" windowHeight="14565" xr2:uid="{092CDDA5-A42F-43D1-8FF3-7B1FFC1F44C2}"/>
  </bookViews>
  <sheets>
    <sheet name="Tracker" sheetId="1" r:id="rId1"/>
    <sheet name="Largest_Progs" sheetId="2" r:id="rId2"/>
  </sheets>
  <definedNames>
    <definedName name="_xlnm._FilterDatabase" localSheetId="1" hidden="1">Largest_Progs!$A$2:$H$51</definedName>
    <definedName name="_xlnm._FilterDatabase" localSheetId="0" hidden="1">Tracker!$Z$5:$Z$174</definedName>
    <definedName name="_xlnm.Extract" localSheetId="0">Tracker!$AA$5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1" i="1" l="1" a="1"/>
  <c r="F191" i="1" s="1"/>
  <c r="H158" i="1" l="1"/>
  <c r="I158" i="1"/>
  <c r="H159" i="1"/>
  <c r="I159" i="1"/>
  <c r="H154" i="1"/>
  <c r="I10" i="1"/>
  <c r="H10" i="1"/>
  <c r="I73" i="1"/>
  <c r="H73" i="1"/>
  <c r="I72" i="1"/>
  <c r="I69" i="1"/>
  <c r="H72" i="1"/>
  <c r="H65" i="1"/>
  <c r="I65" i="1"/>
  <c r="H35" i="1" l="1"/>
  <c r="H56" i="1"/>
  <c r="I57" i="1"/>
  <c r="I70" i="1"/>
  <c r="H97" i="1"/>
  <c r="I145" i="1"/>
  <c r="I146" i="1"/>
  <c r="H146" i="1"/>
  <c r="H145" i="1"/>
  <c r="I133" i="1"/>
  <c r="H133" i="1"/>
  <c r="I135" i="1"/>
  <c r="I144" i="1"/>
  <c r="H144" i="1"/>
  <c r="I142" i="1"/>
  <c r="H142" i="1"/>
  <c r="I136" i="1"/>
  <c r="H136" i="1"/>
  <c r="I139" i="1"/>
  <c r="I138" i="1"/>
  <c r="H139" i="1"/>
  <c r="H138" i="1"/>
  <c r="I141" i="1"/>
  <c r="I140" i="1"/>
  <c r="H141" i="1"/>
  <c r="H140" i="1"/>
  <c r="I137" i="1"/>
  <c r="H137" i="1"/>
  <c r="H135" i="1"/>
  <c r="I134" i="1"/>
  <c r="H134" i="1"/>
  <c r="I157" i="1" l="1"/>
  <c r="H157" i="1"/>
  <c r="H57" i="1" l="1"/>
  <c r="I56" i="1"/>
  <c r="I64" i="1"/>
  <c r="H64" i="1"/>
  <c r="H68" i="1"/>
  <c r="H70" i="1"/>
  <c r="H69" i="1"/>
  <c r="I68" i="1"/>
  <c r="I67" i="1"/>
  <c r="H67" i="1"/>
  <c r="I155" i="1"/>
  <c r="I153" i="1"/>
  <c r="I152" i="1"/>
  <c r="I150" i="1"/>
  <c r="I164" i="1"/>
  <c r="H164" i="1"/>
  <c r="I34" i="1"/>
  <c r="H34" i="1"/>
  <c r="I35" i="1" l="1"/>
  <c r="H31" i="1"/>
  <c r="H38" i="1"/>
  <c r="I38" i="1"/>
  <c r="I37" i="1"/>
  <c r="H37" i="1"/>
  <c r="I36" i="1"/>
  <c r="H36" i="1"/>
  <c r="I32" i="1"/>
  <c r="H32" i="1"/>
  <c r="I31" i="1"/>
  <c r="I49" i="1"/>
  <c r="H49" i="1"/>
  <c r="I48" i="1"/>
  <c r="H48" i="1"/>
  <c r="H47" i="1"/>
  <c r="I47" i="1"/>
  <c r="I46" i="1"/>
  <c r="H46" i="1"/>
  <c r="I52" i="1"/>
  <c r="I53" i="1"/>
  <c r="I54" i="1"/>
  <c r="I51" i="1"/>
  <c r="H52" i="1"/>
  <c r="H53" i="1"/>
  <c r="H54" i="1"/>
  <c r="H51" i="1"/>
  <c r="I77" i="1"/>
  <c r="H77" i="1"/>
  <c r="I59" i="1"/>
  <c r="H59" i="1"/>
  <c r="I102" i="1"/>
  <c r="H102" i="1"/>
  <c r="I101" i="1"/>
  <c r="H101" i="1"/>
  <c r="I100" i="1"/>
  <c r="H100" i="1"/>
  <c r="I98" i="1"/>
  <c r="H98" i="1"/>
  <c r="I97" i="1"/>
  <c r="I168" i="1"/>
  <c r="H168" i="1"/>
  <c r="H19" i="1"/>
  <c r="I44" i="1"/>
  <c r="I43" i="1"/>
  <c r="H41" i="1"/>
  <c r="H42" i="1"/>
  <c r="H43" i="1"/>
  <c r="H44" i="1"/>
  <c r="I40" i="1"/>
  <c r="H40" i="1"/>
  <c r="H155" i="1"/>
  <c r="H151" i="1"/>
  <c r="H152" i="1"/>
  <c r="H153" i="1"/>
  <c r="I151" i="1"/>
  <c r="I154" i="1"/>
  <c r="H150" i="1"/>
  <c r="H110" i="1"/>
  <c r="H111" i="1"/>
  <c r="H112" i="1"/>
  <c r="H113" i="1"/>
  <c r="I111" i="1"/>
  <c r="I112" i="1"/>
  <c r="I113" i="1"/>
  <c r="I110" i="1"/>
  <c r="I108" i="1"/>
  <c r="I26" i="1"/>
  <c r="H26" i="1"/>
  <c r="I25" i="1"/>
  <c r="H25" i="1"/>
  <c r="I22" i="1"/>
  <c r="H22" i="1"/>
  <c r="H108" i="1"/>
  <c r="I107" i="1"/>
  <c r="H107" i="1"/>
  <c r="I105" i="1"/>
  <c r="H105" i="1"/>
  <c r="I104" i="1"/>
  <c r="H104" i="1"/>
  <c r="I103" i="1"/>
  <c r="H103" i="1"/>
  <c r="I99" i="1"/>
  <c r="H99" i="1"/>
  <c r="I96" i="1"/>
  <c r="H96" i="1"/>
  <c r="I94" i="1"/>
  <c r="I95" i="1" s="1"/>
  <c r="H94" i="1"/>
  <c r="H95" i="1" s="1"/>
  <c r="I93" i="1"/>
  <c r="H93" i="1"/>
  <c r="I82" i="1"/>
  <c r="H82" i="1"/>
  <c r="I20" i="1"/>
  <c r="H20" i="1"/>
  <c r="I19" i="1"/>
  <c r="G18" i="1"/>
  <c r="G188" i="1" s="1" a="1"/>
  <c r="G188" i="1" s="1"/>
  <c r="I8" i="1"/>
  <c r="H8" i="1"/>
  <c r="I7" i="1"/>
  <c r="H7" i="1"/>
  <c r="F28" i="1"/>
  <c r="F190" i="1" s="1" a="1"/>
  <c r="F190" i="1" s="1"/>
  <c r="D52" i="2" l="1"/>
  <c r="D36" i="2"/>
  <c r="D44" i="2"/>
  <c r="D29" i="2"/>
  <c r="D47" i="2"/>
  <c r="D42" i="2"/>
  <c r="D37" i="2"/>
  <c r="D45" i="2"/>
  <c r="D30" i="2"/>
  <c r="D31" i="2"/>
  <c r="D32" i="2"/>
  <c r="D35" i="2"/>
  <c r="D38" i="2"/>
  <c r="D46" i="2"/>
  <c r="D33" i="2"/>
  <c r="D43" i="2"/>
  <c r="D39" i="2"/>
  <c r="D40" i="2"/>
  <c r="D48" i="2"/>
  <c r="D51" i="2"/>
  <c r="D41" i="2"/>
  <c r="D49" i="2"/>
  <c r="D34" i="2"/>
  <c r="D50" i="2"/>
  <c r="D3" i="2"/>
  <c r="D21" i="2"/>
  <c r="D4" i="2"/>
  <c r="D12" i="2"/>
  <c r="D22" i="2"/>
  <c r="D5" i="2"/>
  <c r="D13" i="2"/>
  <c r="D23" i="2"/>
  <c r="D6" i="2"/>
  <c r="D14" i="2"/>
  <c r="D24" i="2"/>
  <c r="D7" i="2"/>
  <c r="D15" i="2"/>
  <c r="D25" i="2"/>
  <c r="D8" i="2"/>
  <c r="D16" i="2"/>
  <c r="D26" i="2"/>
  <c r="D9" i="2"/>
  <c r="D17" i="2"/>
  <c r="D19" i="2"/>
  <c r="D27" i="2"/>
  <c r="D10" i="2"/>
  <c r="D18" i="2"/>
  <c r="D20" i="2"/>
  <c r="D11" i="2"/>
  <c r="I197" i="1"/>
  <c r="G197" i="1" s="1" a="1"/>
  <c r="G197" i="1" s="1"/>
  <c r="D28" i="2"/>
  <c r="I211" i="1"/>
  <c r="I209" i="1"/>
  <c r="I201" i="1"/>
  <c r="I200" i="1"/>
  <c r="I207" i="1"/>
  <c r="I199" i="1"/>
  <c r="I198" i="1"/>
  <c r="I208" i="1"/>
  <c r="I206" i="1"/>
  <c r="I205" i="1"/>
  <c r="H197" i="1" a="1"/>
  <c r="H197" i="1" s="1"/>
  <c r="I204" i="1"/>
  <c r="I203" i="1"/>
  <c r="I210" i="1"/>
  <c r="I202" i="1"/>
  <c r="F192" i="1" a="1"/>
  <c r="F192" i="1" s="1"/>
  <c r="F189" i="1" a="1"/>
  <c r="F189" i="1" s="1"/>
  <c r="F185" i="1" a="1"/>
  <c r="F185" i="1" s="1"/>
  <c r="F187" i="1" a="1"/>
  <c r="F187" i="1" s="1"/>
  <c r="G187" i="1" a="1"/>
  <c r="G187" i="1" s="1"/>
  <c r="G189" i="1" a="1"/>
  <c r="G189" i="1" s="1"/>
  <c r="H28" i="1"/>
  <c r="H177" i="1" s="1" a="1"/>
  <c r="H177" i="1" s="1"/>
  <c r="F188" i="1" a="1"/>
  <c r="F188" i="1" s="1"/>
  <c r="F186" i="1" a="1"/>
  <c r="F186" i="1" s="1"/>
  <c r="G185" i="1" a="1"/>
  <c r="G185" i="1" s="1"/>
  <c r="G186" i="1" a="1"/>
  <c r="G186" i="1" s="1"/>
  <c r="I28" i="1"/>
  <c r="I182" i="1" s="1" a="1"/>
  <c r="I182" i="1" s="1"/>
  <c r="A13" i="2" l="1" a="1"/>
  <c r="A13" i="2" s="1"/>
  <c r="C13" i="2" a="1"/>
  <c r="C13" i="2" s="1"/>
  <c r="C7" i="2" a="1"/>
  <c r="C7" i="2" s="1"/>
  <c r="A7" i="2" a="1"/>
  <c r="A7" i="2" s="1"/>
  <c r="A20" i="2" a="1"/>
  <c r="A20" i="2" s="1"/>
  <c r="C20" i="2" a="1"/>
  <c r="C20" i="2" s="1"/>
  <c r="A16" i="2" a="1"/>
  <c r="A16" i="2" s="1"/>
  <c r="C16" i="2" a="1"/>
  <c r="C16" i="2" s="1"/>
  <c r="C23" i="2" a="1"/>
  <c r="C23" i="2" s="1"/>
  <c r="A23" i="2" a="1"/>
  <c r="A23" i="2" s="1"/>
  <c r="A50" i="2" a="1"/>
  <c r="A50" i="2" s="1"/>
  <c r="C50" i="2" a="1"/>
  <c r="C50" i="2" s="1"/>
  <c r="C43" i="2" a="1"/>
  <c r="C43" i="2" s="1"/>
  <c r="A43" i="2" a="1"/>
  <c r="A43" i="2" s="1"/>
  <c r="C45" i="2" a="1"/>
  <c r="C45" i="2" s="1"/>
  <c r="A45" i="2" a="1"/>
  <c r="A45" i="2" s="1"/>
  <c r="C37" i="2" a="1"/>
  <c r="C37" i="2" s="1"/>
  <c r="A37" i="2" a="1"/>
  <c r="A37" i="2" s="1"/>
  <c r="A10" i="2" a="1"/>
  <c r="A10" i="2" s="1"/>
  <c r="C10" i="2" a="1"/>
  <c r="C10" i="2" s="1"/>
  <c r="A25" i="2" a="1"/>
  <c r="A25" i="2" s="1"/>
  <c r="C25" i="2" a="1"/>
  <c r="C25" i="2" s="1"/>
  <c r="A5" i="2" a="1"/>
  <c r="A5" i="2" s="1"/>
  <c r="C5" i="2" a="1"/>
  <c r="C5" i="2" s="1"/>
  <c r="C49" i="2" a="1"/>
  <c r="C49" i="2" s="1"/>
  <c r="A49" i="2" a="1"/>
  <c r="A49" i="2" s="1"/>
  <c r="A46" i="2" a="1"/>
  <c r="A46" i="2" s="1"/>
  <c r="C46" i="2" a="1"/>
  <c r="C46" i="2" s="1"/>
  <c r="A42" i="2" a="1"/>
  <c r="A42" i="2" s="1"/>
  <c r="C42" i="2" a="1"/>
  <c r="C42" i="2" s="1"/>
  <c r="C15" i="2" a="1"/>
  <c r="C15" i="2" s="1"/>
  <c r="A15" i="2" a="1"/>
  <c r="A15" i="2" s="1"/>
  <c r="C41" i="2" a="1"/>
  <c r="C41" i="2" s="1"/>
  <c r="A41" i="2" a="1"/>
  <c r="A41" i="2" s="1"/>
  <c r="A38" i="2" a="1"/>
  <c r="A38" i="2" s="1"/>
  <c r="C38" i="2" a="1"/>
  <c r="C38" i="2" s="1"/>
  <c r="A47" i="2" a="1"/>
  <c r="A47" i="2" s="1"/>
  <c r="C47" i="2" a="1"/>
  <c r="C47" i="2" s="1"/>
  <c r="A29" i="2" a="1"/>
  <c r="A29" i="2" s="1"/>
  <c r="C29" i="2" a="1"/>
  <c r="C29" i="2" s="1"/>
  <c r="C33" i="2" a="1"/>
  <c r="C33" i="2" s="1"/>
  <c r="A33" i="2" a="1"/>
  <c r="A33" i="2" s="1"/>
  <c r="C12" i="2" a="1"/>
  <c r="C12" i="2" s="1"/>
  <c r="A12" i="2" a="1"/>
  <c r="A12" i="2" s="1"/>
  <c r="C51" i="2" a="1"/>
  <c r="C51" i="2" s="1"/>
  <c r="A51" i="2" a="1"/>
  <c r="A51" i="2" s="1"/>
  <c r="A35" i="2" a="1"/>
  <c r="A35" i="2" s="1"/>
  <c r="C35" i="2" a="1"/>
  <c r="C35" i="2" s="1"/>
  <c r="A28" i="2" a="1"/>
  <c r="A28" i="2" s="1"/>
  <c r="C28" i="2" a="1"/>
  <c r="C28" i="2" s="1"/>
  <c r="A17" i="2" a="1"/>
  <c r="A17" i="2" s="1"/>
  <c r="C17" i="2" a="1"/>
  <c r="C17" i="2" s="1"/>
  <c r="A24" i="2" a="1"/>
  <c r="A24" i="2" s="1"/>
  <c r="C24" i="2" a="1"/>
  <c r="C24" i="2" s="1"/>
  <c r="C4" i="2" a="1"/>
  <c r="C4" i="2" s="1"/>
  <c r="A4" i="2" a="1"/>
  <c r="A4" i="2" s="1"/>
  <c r="A48" i="2" a="1"/>
  <c r="A48" i="2" s="1"/>
  <c r="C48" i="2" a="1"/>
  <c r="C48" i="2" s="1"/>
  <c r="C32" i="2" a="1"/>
  <c r="C32" i="2" s="1"/>
  <c r="A32" i="2" a="1"/>
  <c r="A32" i="2" s="1"/>
  <c r="C44" i="2" a="1"/>
  <c r="C44" i="2" s="1"/>
  <c r="A44" i="2" a="1"/>
  <c r="A44" i="2" s="1"/>
  <c r="A18" i="2" a="1"/>
  <c r="A18" i="2" s="1"/>
  <c r="C18" i="2" a="1"/>
  <c r="C18" i="2" s="1"/>
  <c r="A34" i="2" a="1"/>
  <c r="A34" i="2" s="1"/>
  <c r="C34" i="2" a="1"/>
  <c r="C34" i="2" s="1"/>
  <c r="C22" i="2" a="1"/>
  <c r="C22" i="2" s="1"/>
  <c r="A22" i="2" a="1"/>
  <c r="A22" i="2" s="1"/>
  <c r="A19" i="2" a="1"/>
  <c r="A19" i="2" s="1"/>
  <c r="C19" i="2" a="1"/>
  <c r="C19" i="2" s="1"/>
  <c r="A9" i="2" a="1"/>
  <c r="A9" i="2" s="1"/>
  <c r="C9" i="2" a="1"/>
  <c r="C9" i="2" s="1"/>
  <c r="A14" i="2" a="1"/>
  <c r="A14" i="2" s="1"/>
  <c r="C14" i="2" a="1"/>
  <c r="C14" i="2" s="1"/>
  <c r="C21" i="2" a="1"/>
  <c r="C21" i="2" s="1"/>
  <c r="A21" i="2" a="1"/>
  <c r="A21" i="2" s="1"/>
  <c r="A40" i="2" a="1"/>
  <c r="A40" i="2" s="1"/>
  <c r="C40" i="2" a="1"/>
  <c r="C40" i="2" s="1"/>
  <c r="C31" i="2" a="1"/>
  <c r="C31" i="2" s="1"/>
  <c r="A31" i="2" a="1"/>
  <c r="A31" i="2" s="1"/>
  <c r="A36" i="2" a="1"/>
  <c r="A36" i="2" s="1"/>
  <c r="C36" i="2" a="1"/>
  <c r="C36" i="2" s="1"/>
  <c r="C8" i="2" a="1"/>
  <c r="C8" i="2" s="1"/>
  <c r="A8" i="2" a="1"/>
  <c r="A8" i="2" s="1"/>
  <c r="C27" i="2" a="1"/>
  <c r="C27" i="2" s="1"/>
  <c r="A27" i="2" a="1"/>
  <c r="A27" i="2" s="1"/>
  <c r="A11" i="2" a="1"/>
  <c r="A11" i="2" s="1"/>
  <c r="C11" i="2" a="1"/>
  <c r="C11" i="2" s="1"/>
  <c r="A26" i="2" a="1"/>
  <c r="A26" i="2" s="1"/>
  <c r="C26" i="2" a="1"/>
  <c r="C26" i="2" s="1"/>
  <c r="A6" i="2" a="1"/>
  <c r="A6" i="2" s="1"/>
  <c r="C6" i="2" a="1"/>
  <c r="C6" i="2" s="1"/>
  <c r="C3" i="2" a="1"/>
  <c r="C3" i="2" s="1"/>
  <c r="A3" i="2" a="1"/>
  <c r="A3" i="2" s="1"/>
  <c r="A39" i="2" a="1"/>
  <c r="A39" i="2" s="1"/>
  <c r="C39" i="2" a="1"/>
  <c r="C39" i="2" s="1"/>
  <c r="C30" i="2" a="1"/>
  <c r="C30" i="2" s="1"/>
  <c r="A30" i="2" a="1"/>
  <c r="A30" i="2" s="1"/>
  <c r="A52" i="2" a="1"/>
  <c r="A52" i="2" s="1"/>
  <c r="C52" i="2" a="1"/>
  <c r="C52" i="2" s="1"/>
  <c r="I215" i="1"/>
  <c r="I214" i="1"/>
  <c r="H206" i="1" a="1"/>
  <c r="H206" i="1" s="1"/>
  <c r="G206" i="1" a="1"/>
  <c r="G206" i="1" s="1"/>
  <c r="G205" i="1" a="1"/>
  <c r="G205" i="1" s="1"/>
  <c r="H205" i="1" a="1"/>
  <c r="H205" i="1" s="1"/>
  <c r="G211" i="1" a="1"/>
  <c r="G211" i="1" s="1"/>
  <c r="H211" i="1" a="1"/>
  <c r="H211" i="1" s="1"/>
  <c r="H209" i="1" a="1"/>
  <c r="H209" i="1" s="1"/>
  <c r="I216" i="1"/>
  <c r="G209" i="1" a="1"/>
  <c r="G209" i="1" s="1"/>
  <c r="G203" i="1" a="1"/>
  <c r="G203" i="1" s="1"/>
  <c r="H203" i="1" a="1"/>
  <c r="H203" i="1" s="1"/>
  <c r="H201" i="1" a="1"/>
  <c r="H201" i="1" s="1"/>
  <c r="G201" i="1" a="1"/>
  <c r="G201" i="1" s="1"/>
  <c r="H207" i="1" a="1"/>
  <c r="H207" i="1" s="1"/>
  <c r="G207" i="1" a="1"/>
  <c r="G207" i="1" s="1"/>
  <c r="G204" i="1" a="1"/>
  <c r="G204" i="1" s="1"/>
  <c r="H204" i="1" a="1"/>
  <c r="H204" i="1" s="1"/>
  <c r="G200" i="1" a="1"/>
  <c r="G200" i="1" s="1"/>
  <c r="H200" i="1" a="1"/>
  <c r="H200" i="1" s="1"/>
  <c r="G199" i="1" a="1"/>
  <c r="G199" i="1" s="1"/>
  <c r="H199" i="1" a="1"/>
  <c r="H199" i="1" s="1"/>
  <c r="G208" i="1" a="1"/>
  <c r="G208" i="1" s="1"/>
  <c r="H208" i="1" a="1"/>
  <c r="H208" i="1" s="1"/>
  <c r="G198" i="1" a="1"/>
  <c r="G198" i="1" s="1"/>
  <c r="H198" i="1" a="1"/>
  <c r="H198" i="1" s="1"/>
  <c r="I183" i="1" a="1"/>
  <c r="I183" i="1" s="1"/>
  <c r="H202" i="1" a="1"/>
  <c r="H202" i="1" s="1"/>
  <c r="G202" i="1" a="1"/>
  <c r="G202" i="1" s="1"/>
  <c r="G210" i="1" a="1"/>
  <c r="G210" i="1" s="1"/>
  <c r="H210" i="1" a="1"/>
  <c r="H210" i="1" s="1"/>
  <c r="H183" i="1" a="1"/>
  <c r="H183" i="1" s="1"/>
  <c r="H181" i="1" a="1"/>
  <c r="H181" i="1" s="1"/>
  <c r="H182" i="1" a="1"/>
  <c r="H182" i="1" s="1"/>
  <c r="H180" i="1" a="1"/>
  <c r="H180" i="1" s="1"/>
  <c r="H178" i="1" a="1"/>
  <c r="H178" i="1" s="1"/>
  <c r="H179" i="1" a="1"/>
  <c r="H179" i="1" s="1"/>
  <c r="I178" i="1" a="1"/>
  <c r="I178" i="1" s="1"/>
  <c r="I180" i="1" a="1"/>
  <c r="I180" i="1" s="1"/>
  <c r="I179" i="1" a="1"/>
  <c r="I179" i="1" s="1"/>
  <c r="I181" i="1" a="1"/>
  <c r="I181" i="1" s="1"/>
  <c r="I177" i="1" a="1"/>
  <c r="I177" i="1" s="1"/>
  <c r="A8" i="1"/>
  <c r="A6" i="1"/>
  <c r="H21" i="2" a="1"/>
  <c r="H12" i="2" a="1"/>
  <c r="H17" i="2" a="1"/>
  <c r="H20" i="2" a="1"/>
  <c r="H3" i="2" a="1"/>
  <c r="H39" i="2" a="1"/>
  <c r="H23" i="2" a="1"/>
  <c r="H42" i="2" a="1"/>
  <c r="H15" i="2" a="1"/>
  <c r="H37" i="2" a="1"/>
  <c r="H47" i="2" a="1"/>
  <c r="H29" i="2" a="1"/>
  <c r="H49" i="2" a="1"/>
  <c r="H8" i="2" a="1"/>
  <c r="H35" i="2" a="1"/>
  <c r="H41" i="2" a="1"/>
  <c r="H27" i="2" a="1"/>
  <c r="H18" i="2" a="1"/>
  <c r="H33" i="2" a="1"/>
  <c r="H31" i="2" a="1"/>
  <c r="H40" i="2" a="1"/>
  <c r="H30" i="2" a="1"/>
  <c r="H7" i="2" a="1"/>
  <c r="H11" i="2" a="1"/>
  <c r="H13" i="2" a="1"/>
  <c r="H44" i="2" a="1"/>
  <c r="H22" i="2" a="1"/>
  <c r="H6" i="2" a="1"/>
  <c r="H25" i="2" a="1"/>
  <c r="H16" i="2" a="1"/>
  <c r="H45" i="2" a="1"/>
  <c r="H28" i="2" a="1"/>
  <c r="H51" i="2" a="1"/>
  <c r="H52" i="2" a="1"/>
  <c r="H5" i="2" a="1"/>
  <c r="H48" i="2" a="1"/>
  <c r="H4" i="2" a="1"/>
  <c r="H32" i="2" a="1"/>
  <c r="H34" i="2" a="1"/>
  <c r="H50" i="2" a="1"/>
  <c r="H24" i="2" a="1"/>
  <c r="H14" i="2" a="1"/>
  <c r="H10" i="2" a="1"/>
  <c r="H19" i="2" a="1"/>
  <c r="H36" i="2" a="1"/>
  <c r="H46" i="2" a="1"/>
  <c r="H9" i="2" a="1"/>
  <c r="H26" i="2" a="1"/>
  <c r="H38" i="2" a="1"/>
  <c r="H43" i="2" a="1"/>
  <c r="H15" i="2" l="1"/>
  <c r="H45" i="2"/>
  <c r="H39" i="2"/>
  <c r="H11" i="2"/>
  <c r="H9" i="2"/>
  <c r="H18" i="2"/>
  <c r="H35" i="2"/>
  <c r="H29" i="2"/>
  <c r="H5" i="2"/>
  <c r="H16" i="2"/>
  <c r="H3" i="2"/>
  <c r="H43" i="2"/>
  <c r="H40" i="2"/>
  <c r="H19" i="2"/>
  <c r="H24" i="2"/>
  <c r="H47" i="2"/>
  <c r="H42" i="2"/>
  <c r="H25" i="2"/>
  <c r="H20" i="2"/>
  <c r="H7" i="2"/>
  <c r="H31" i="2"/>
  <c r="H27" i="2"/>
  <c r="H8" i="2"/>
  <c r="H32" i="2"/>
  <c r="H52" i="2"/>
  <c r="H6" i="2"/>
  <c r="H17" i="2"/>
  <c r="H38" i="2"/>
  <c r="H46" i="2"/>
  <c r="H10" i="2"/>
  <c r="H50" i="2"/>
  <c r="H4" i="2"/>
  <c r="H51" i="2"/>
  <c r="H22" i="2"/>
  <c r="H12" i="2"/>
  <c r="H30" i="2"/>
  <c r="H33" i="2"/>
  <c r="H41" i="2"/>
  <c r="H49" i="2"/>
  <c r="H37" i="2"/>
  <c r="H23" i="2"/>
  <c r="H44" i="2"/>
  <c r="H21" i="2"/>
  <c r="H26" i="2"/>
  <c r="H36" i="2"/>
  <c r="H14" i="2"/>
  <c r="H34" i="2"/>
  <c r="H48" i="2"/>
  <c r="H28" i="2"/>
  <c r="H13" i="2"/>
  <c r="F15" i="2"/>
  <c r="B15" i="2"/>
  <c r="E15" i="2"/>
  <c r="F45" i="2"/>
  <c r="B45" i="2"/>
  <c r="E45" i="2"/>
  <c r="F39" i="2"/>
  <c r="B39" i="2"/>
  <c r="E39" i="2"/>
  <c r="F11" i="2"/>
  <c r="E11" i="2"/>
  <c r="B11" i="2"/>
  <c r="F9" i="2"/>
  <c r="B9" i="2"/>
  <c r="E9" i="2"/>
  <c r="B18" i="2"/>
  <c r="E18" i="2"/>
  <c r="F18" i="2"/>
  <c r="B35" i="2"/>
  <c r="E35" i="2"/>
  <c r="F35" i="2"/>
  <c r="B29" i="2"/>
  <c r="F29" i="2"/>
  <c r="E29" i="2"/>
  <c r="B5" i="2"/>
  <c r="F5" i="2"/>
  <c r="E5" i="2"/>
  <c r="E16" i="2"/>
  <c r="B16" i="2"/>
  <c r="F16" i="2"/>
  <c r="F3" i="2"/>
  <c r="E3" i="2"/>
  <c r="B3" i="2"/>
  <c r="B43" i="2"/>
  <c r="F43" i="2"/>
  <c r="E43" i="2"/>
  <c r="B40" i="2"/>
  <c r="E40" i="2"/>
  <c r="F40" i="2"/>
  <c r="E19" i="2"/>
  <c r="B19" i="2"/>
  <c r="F19" i="2"/>
  <c r="F24" i="2"/>
  <c r="B24" i="2"/>
  <c r="E24" i="2"/>
  <c r="B47" i="2"/>
  <c r="E47" i="2"/>
  <c r="F47" i="2"/>
  <c r="B42" i="2"/>
  <c r="F42" i="2"/>
  <c r="E42" i="2"/>
  <c r="E25" i="2"/>
  <c r="F25" i="2"/>
  <c r="B25" i="2"/>
  <c r="E20" i="2"/>
  <c r="F20" i="2"/>
  <c r="B20" i="2"/>
  <c r="B7" i="2"/>
  <c r="F7" i="2"/>
  <c r="E7" i="2"/>
  <c r="E31" i="2"/>
  <c r="F31" i="2"/>
  <c r="B31" i="2"/>
  <c r="B27" i="2"/>
  <c r="F27" i="2"/>
  <c r="E27" i="2"/>
  <c r="B8" i="2"/>
  <c r="F8" i="2"/>
  <c r="E8" i="2"/>
  <c r="F32" i="2"/>
  <c r="E32" i="2"/>
  <c r="B32" i="2"/>
  <c r="F52" i="2"/>
  <c r="B52" i="2"/>
  <c r="E52" i="2"/>
  <c r="E6" i="2"/>
  <c r="F6" i="2"/>
  <c r="B6" i="2"/>
  <c r="B17" i="2"/>
  <c r="E17" i="2"/>
  <c r="F17" i="2"/>
  <c r="F38" i="2"/>
  <c r="E38" i="2"/>
  <c r="B38" i="2"/>
  <c r="B46" i="2"/>
  <c r="F46" i="2"/>
  <c r="E46" i="2"/>
  <c r="E10" i="2"/>
  <c r="F10" i="2"/>
  <c r="B10" i="2"/>
  <c r="F50" i="2"/>
  <c r="E50" i="2"/>
  <c r="B50" i="2"/>
  <c r="B4" i="2"/>
  <c r="E4" i="2"/>
  <c r="F4" i="2"/>
  <c r="B51" i="2"/>
  <c r="F51" i="2"/>
  <c r="E51" i="2"/>
  <c r="B22" i="2"/>
  <c r="E22" i="2"/>
  <c r="F22" i="2"/>
  <c r="E12" i="2"/>
  <c r="F12" i="2"/>
  <c r="B12" i="2"/>
  <c r="B30" i="2"/>
  <c r="F30" i="2"/>
  <c r="E30" i="2"/>
  <c r="E33" i="2"/>
  <c r="F33" i="2"/>
  <c r="B33" i="2"/>
  <c r="B41" i="2"/>
  <c r="E41" i="2"/>
  <c r="F41" i="2"/>
  <c r="B49" i="2"/>
  <c r="F49" i="2"/>
  <c r="E49" i="2"/>
  <c r="B37" i="2"/>
  <c r="F37" i="2"/>
  <c r="E37" i="2"/>
  <c r="E23" i="2"/>
  <c r="B23" i="2"/>
  <c r="F23" i="2"/>
  <c r="B44" i="2"/>
  <c r="E44" i="2"/>
  <c r="F44" i="2"/>
  <c r="E21" i="2"/>
  <c r="F21" i="2"/>
  <c r="B21" i="2"/>
  <c r="E26" i="2"/>
  <c r="F26" i="2"/>
  <c r="B26" i="2"/>
  <c r="B36" i="2"/>
  <c r="F36" i="2"/>
  <c r="E36" i="2"/>
  <c r="B14" i="2"/>
  <c r="E14" i="2"/>
  <c r="F14" i="2"/>
  <c r="F34" i="2"/>
  <c r="B34" i="2"/>
  <c r="E34" i="2"/>
  <c r="F48" i="2"/>
  <c r="B48" i="2"/>
  <c r="E48" i="2"/>
  <c r="F28" i="2"/>
  <c r="E28" i="2"/>
  <c r="B28" i="2"/>
  <c r="E13" i="2"/>
  <c r="F13" i="2"/>
  <c r="B13" i="2"/>
  <c r="A9" i="1"/>
  <c r="A10" i="1" s="1"/>
  <c r="H214" i="1"/>
  <c r="H216" i="1"/>
  <c r="H215" i="1"/>
  <c r="A13" i="1"/>
  <c r="A14" i="1" s="1"/>
  <c r="A15" i="1" s="1"/>
  <c r="A16" i="1" l="1"/>
  <c r="A18" i="1" s="1"/>
  <c r="A19" i="1" s="1"/>
  <c r="A20" i="1" s="1"/>
  <c r="A21" i="1" s="1"/>
  <c r="A22" i="1" s="1"/>
  <c r="A23" i="1" s="1"/>
  <c r="A24" i="1" s="1"/>
  <c r="A25" i="1" s="1"/>
  <c r="A26" i="1" s="1"/>
  <c r="A28" i="1" s="1"/>
  <c r="A31" i="1" l="1"/>
  <c r="A32" i="1" s="1"/>
  <c r="A33" i="1" s="1"/>
  <c r="A34" i="1" s="1"/>
  <c r="A35" i="1" s="1"/>
  <c r="A36" i="1" l="1"/>
  <c r="A37" i="1" s="1"/>
  <c r="A38" i="1" s="1"/>
  <c r="A40" i="1" s="1"/>
  <c r="A41" i="1" s="1"/>
  <c r="A42" i="1" s="1"/>
  <c r="A43" i="1" s="1"/>
  <c r="A44" i="1" l="1"/>
  <c r="A46" i="1" s="1"/>
  <c r="A47" i="1" l="1"/>
  <c r="A48" i="1" s="1"/>
  <c r="A49" i="1" s="1"/>
  <c r="A51" i="1" s="1"/>
  <c r="A52" i="1" s="1"/>
  <c r="A53" i="1" s="1"/>
  <c r="A54" i="1" s="1"/>
  <c r="A56" i="1" s="1"/>
  <c r="A57" i="1" s="1"/>
  <c r="A59" i="1" s="1"/>
  <c r="A61" i="1" s="1"/>
  <c r="A64" i="1" s="1"/>
  <c r="A65" i="1" s="1"/>
  <c r="A67" i="1" s="1"/>
  <c r="A68" i="1" s="1"/>
  <c r="A69" i="1" s="1"/>
  <c r="A70" i="1" s="1"/>
  <c r="A71" i="1" s="1"/>
  <c r="A72" i="1" l="1"/>
  <c r="A73" i="1" s="1"/>
  <c r="A74" i="1" l="1"/>
  <c r="A76" i="1" s="1"/>
  <c r="A77" i="1" s="1"/>
  <c r="A78" i="1" s="1"/>
  <c r="A79" i="1" s="1"/>
  <c r="A81" i="1" s="1"/>
  <c r="A82" i="1" s="1"/>
  <c r="A84" i="1" s="1"/>
  <c r="A85" i="1" s="1"/>
  <c r="A86" i="1" s="1"/>
  <c r="A87" i="1" s="1"/>
  <c r="A88" i="1" s="1"/>
  <c r="A89" i="1" s="1"/>
  <c r="A90" i="1" s="1"/>
  <c r="A93" i="1" s="1"/>
  <c r="A94" i="1" s="1"/>
  <c r="A95" i="1" s="1"/>
  <c r="A96" i="1" s="1"/>
  <c r="A97" i="1" l="1"/>
  <c r="A98" i="1" s="1"/>
  <c r="A99" i="1" s="1"/>
  <c r="A100" i="1" s="1"/>
  <c r="A101" i="1" l="1"/>
  <c r="A102" i="1" s="1"/>
  <c r="A103" i="1" s="1"/>
  <c r="A104" i="1" s="1"/>
  <c r="A105" i="1" s="1"/>
  <c r="A106" i="1" s="1"/>
  <c r="A107" i="1" s="1"/>
  <c r="A108" i="1" s="1"/>
  <c r="A110" i="1" s="1"/>
  <c r="A111" i="1" l="1"/>
  <c r="A112" i="1" s="1"/>
  <c r="A113" i="1" l="1"/>
  <c r="A114" i="1" s="1"/>
  <c r="A115" i="1" s="1"/>
  <c r="A116" i="1" s="1"/>
  <c r="A117" i="1" s="1"/>
  <c r="A118" i="1" s="1"/>
  <c r="A120" i="1" l="1"/>
  <c r="A121" i="1" s="1"/>
  <c r="A122" i="1" l="1"/>
  <c r="A123" i="1" l="1"/>
  <c r="A124" i="1" l="1"/>
  <c r="A126" i="1" l="1"/>
  <c r="A127" i="1" l="1"/>
  <c r="A128" i="1" l="1"/>
  <c r="A129" i="1" l="1"/>
  <c r="A130" i="1" l="1"/>
  <c r="A133" i="1" l="1"/>
  <c r="A134" i="1" s="1"/>
  <c r="A135" i="1" s="1"/>
  <c r="A136" i="1" s="1"/>
  <c r="A137" i="1" s="1"/>
  <c r="A138" i="1" s="1"/>
  <c r="A139" i="1" s="1"/>
  <c r="A140" i="1" s="1"/>
  <c r="A141" i="1" s="1"/>
  <c r="A142" i="1" s="1"/>
  <c r="A143" i="1" s="1"/>
  <c r="A144" i="1" s="1"/>
  <c r="A145" i="1" s="1"/>
  <c r="A146" i="1" s="1"/>
  <c r="A147" i="1" s="1"/>
  <c r="A148" i="1" s="1"/>
  <c r="A150" i="1" s="1"/>
  <c r="A151" i="1" s="1"/>
  <c r="A152" i="1" s="1"/>
  <c r="A153" i="1" s="1"/>
  <c r="A154" i="1" s="1"/>
  <c r="A155" i="1" s="1"/>
  <c r="A157" i="1" s="1"/>
  <c r="A158" i="1" s="1"/>
  <c r="A159" i="1" s="1"/>
  <c r="A160" i="1" s="1"/>
  <c r="A161" i="1" s="1"/>
  <c r="A163" i="1" s="1"/>
  <c r="A164" i="1" s="1"/>
  <c r="A165" i="1" s="1"/>
  <c r="A166" i="1" s="1"/>
  <c r="A167" i="1" s="1"/>
  <c r="A168" i="1" s="1"/>
  <c r="A169" i="1" s="1"/>
  <c r="A171" i="1" s="1"/>
  <c r="A172" i="1" s="1"/>
  <c r="A173" i="1" s="1"/>
  <c r="A17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<sst xmlns="http://schemas.openxmlformats.org/spreadsheetml/2006/main" count="1776" uniqueCount="693">
  <si>
    <t>INFLATION REDUCTION ACT PROVISION TRACKER</t>
  </si>
  <si>
    <t>Bill Section</t>
  </si>
  <si>
    <t>Program</t>
  </si>
  <si>
    <t>Type</t>
  </si>
  <si>
    <t>Formula/
Competitive/
Entitlement/
Discretionary</t>
  </si>
  <si>
    <t>National Amount (millions over 10 years)</t>
  </si>
  <si>
    <t>Est. NC Amount (millions over ten years)</t>
  </si>
  <si>
    <t>Timeline</t>
  </si>
  <si>
    <t>General Notes</t>
  </si>
  <si>
    <t>Federal Agencies</t>
  </si>
  <si>
    <t>State Agencies</t>
  </si>
  <si>
    <t>Other Affected Stakeholders</t>
  </si>
  <si>
    <t>Source 1</t>
  </si>
  <si>
    <t>Source 2</t>
  </si>
  <si>
    <t>Source 3</t>
  </si>
  <si>
    <t>Spending/
Rev. Reduction</t>
  </si>
  <si>
    <t>Deficit Reduction</t>
  </si>
  <si>
    <t>Low</t>
  </si>
  <si>
    <t>High</t>
  </si>
  <si>
    <t>NC Amount Source</t>
  </si>
  <si>
    <t>Has the provision description been reviewed?</t>
  </si>
  <si>
    <t>TAX PROVISIONS</t>
  </si>
  <si>
    <t>15% Corporate Alternative Minimum Tax</t>
  </si>
  <si>
    <t>Tax Revenue</t>
  </si>
  <si>
    <t>N/A</t>
  </si>
  <si>
    <t>Permanent starting 2023</t>
  </si>
  <si>
    <t>Creates an alternative minimum tax on corporate accounting profits at a rate of 15% for corporations with accounting profit above $1 billion</t>
  </si>
  <si>
    <t>IRS</t>
  </si>
  <si>
    <t>Approx. 150 large multinational corporations</t>
  </si>
  <si>
    <t>JCT</t>
  </si>
  <si>
    <t>CRS</t>
  </si>
  <si>
    <t>PK</t>
  </si>
  <si>
    <t>Excise tax on stock repurchases</t>
  </si>
  <si>
    <t>Imposes a new 1% excise tax on stock buybacks in excess of $1 million.</t>
  </si>
  <si>
    <t>Large corporations engaging in stock buybacks</t>
  </si>
  <si>
    <t>Enhancement of IRS Resources</t>
  </si>
  <si>
    <t>Tax Revenue/
Spending</t>
  </si>
  <si>
    <t>OSBM state revenue estimate based on IRS tax-gap estimates and state/national tax data</t>
  </si>
  <si>
    <t>FFYs 2022-2031</t>
  </si>
  <si>
    <t>Increases IRS funding for enforcement and taxpayer services over a ten-year period. Additional enforcement will focus on high-income taxpayers.</t>
  </si>
  <si>
    <t>NCDOR</t>
  </si>
  <si>
    <t>High-income taxpayers and large corporations</t>
  </si>
  <si>
    <t>CBO</t>
  </si>
  <si>
    <t>Extension of limitation on excess business losses of non-corporate taxpayers</t>
  </si>
  <si>
    <t>OSBM state revenue estimate based on state/national tax data and rates</t>
  </si>
  <si>
    <t>Extend limitation from 2026 through 2028</t>
  </si>
  <si>
    <t>Extends a provision of the 2017 Tax Cuts and Jobs Act that limits the amount of business losses non-corporate taxpayers can claim in a given year (but allowing those losses to be carried forward).</t>
  </si>
  <si>
    <t>High-income taxpayers with significant business losses</t>
  </si>
  <si>
    <t>Codify tax to fund black lung disability trust fund</t>
  </si>
  <si>
    <t>Permanent extension</t>
  </si>
  <si>
    <t>Permanently extends higher rates on an excise tax for coal to fund the black lung disability trust fund.</t>
  </si>
  <si>
    <t>Coal miners and coal-mine operators</t>
  </si>
  <si>
    <t>NC DEQ</t>
  </si>
  <si>
    <t>Increase research credit against payroll taxes for small businesses</t>
  </si>
  <si>
    <t>Tax Credit</t>
  </si>
  <si>
    <t>Assumes NC share will be 2-4% of total</t>
  </si>
  <si>
    <t>Allows businesses less than five years old and with less than $5 million in gross receipts to claim a credit for research expenses against the employer share of Medicare payroll taxes (in addition to Social Security taxes as under current law).</t>
  </si>
  <si>
    <t>NC Commerce</t>
  </si>
  <si>
    <t>Small, new research-focused businesses with little or no taxable profits</t>
  </si>
  <si>
    <t>HEALTHCARE PROVISIONS</t>
  </si>
  <si>
    <t xml:space="preserve">     Prescription Drug Pricing Reform</t>
  </si>
  <si>
    <t>Providing for Lower Prices for Certain High-Priced Single Source Drugs</t>
  </si>
  <si>
    <t>Regulation</t>
  </si>
  <si>
    <t>Permanent starting in 2026</t>
  </si>
  <si>
    <t>Allows Medicare to negotiate prices for high-cost, high-spending drugs. Number of drugs covered will start at 10 in 2026 and increase to 20 by 2029.</t>
  </si>
  <si>
    <t>CMS</t>
  </si>
  <si>
    <t>Medicare beneficiaries; pharmaceutical companies</t>
  </si>
  <si>
    <t>Special Rule to Delay Selection and Negotiation of Biologics for Biosimilar Market Entry</t>
  </si>
  <si>
    <t>Included with sec. 11001 estimate</t>
  </si>
  <si>
    <t>Implementation starting in 2026</t>
  </si>
  <si>
    <t>Implements a rule that can delay a biological drug’s negotiation process for up to two years based upon a complex set of conditions, including likelihood of a biosimilar product being licensed and marketed with the two years after which a drug is eligible for negotiation.</t>
  </si>
  <si>
    <t>https://www.drugchannels.net/2022/09/the-inflation-reduction-act-three.html</t>
  </si>
  <si>
    <t>Selected Drug Manufacturer Excise Tax Imposed During Noncompliance Period</t>
  </si>
  <si>
    <t>Imposes a new excise tax on drug manufacturers, producers, and importers who are noncompliant with Medicare drug pricing agreements.</t>
  </si>
  <si>
    <t>Pharmaceutical companies and importers</t>
  </si>
  <si>
    <t>Funding</t>
  </si>
  <si>
    <t>Spending</t>
  </si>
  <si>
    <t>FFY 2022 until expended</t>
  </si>
  <si>
    <t>Provides funding to CMS to carry out the prescription drug pricing reform provisions.</t>
  </si>
  <si>
    <t xml:space="preserve">     Prescription Drug Rebates and Out-of-Pocket Cap</t>
  </si>
  <si>
    <t>11101 &amp; 11102</t>
  </si>
  <si>
    <t>Medicare Part B and D Rebates by Manufacturers</t>
  </si>
  <si>
    <t>Other Revenue</t>
  </si>
  <si>
    <t>TBD, potential impact to NC budget</t>
  </si>
  <si>
    <t>Requires drug manufacturers pay rebates for Part B and D drugs if prices rise faster than inflation.</t>
  </si>
  <si>
    <t>DHHS</t>
  </si>
  <si>
    <t>Pharmaceutical companies</t>
  </si>
  <si>
    <t>KFF</t>
  </si>
  <si>
    <t>Improvements and Maximum Out-of-Pocket Cap for Medicare Beneficiaries</t>
  </si>
  <si>
    <t>Entitlement</t>
  </si>
  <si>
    <t>Based on NC receiving ~3.4% of Medicare dollars</t>
  </si>
  <si>
    <t>Permanent starting in 2024/2025</t>
  </si>
  <si>
    <t>Limits annual increases in Part D Premiums, eliminates coinsurance above the catastrophic threshold in 2024 and adds a $2,000 cap on spending in 2025</t>
  </si>
  <si>
    <t>Medicare Part D enrollees</t>
  </si>
  <si>
    <t>Maximum Monthly Cap on Cost-Sharing Payments Under Prescription Drug Plans and MA-PD Plans</t>
  </si>
  <si>
    <t>Permanent starting in 2025</t>
  </si>
  <si>
    <t>Creates a monthly cap on cost-sharing payments beginning in 2025</t>
  </si>
  <si>
    <t>Prohibiting Implementation of Rule Relating to Eliminating the Anti-Kick Back Statute Safe Harbor Protection for Prescription Drug Rebates</t>
  </si>
  <si>
    <t>Delays rule start from 2027 to 2032</t>
  </si>
  <si>
    <t>Delays the implementation of disallowing rebates between drug manufacturers and pharmacy benefit managers or health plan sponsors in Medicare Part D.</t>
  </si>
  <si>
    <t>Pharmaceutical companies, pharmacy benefit managers, and health plan sponsors</t>
  </si>
  <si>
    <t>Coverage of Adult Vaccines Recommended by the Advisory Committee on Immunization</t>
  </si>
  <si>
    <t>Incorporates coverage for recommended adult vaccines for Medicare part B enrollees without any coinsurance costs.</t>
  </si>
  <si>
    <t>Medicare enrollees</t>
  </si>
  <si>
    <t>Payment for Biosimilar Biological Products During Initial Period</t>
  </si>
  <si>
    <t>Spending Reduction</t>
  </si>
  <si>
    <t>Permanent starting July 1, 2024</t>
  </si>
  <si>
    <t>Establishes the payment amount for biosimilar drugs during the initial period when average costs are not available.</t>
  </si>
  <si>
    <t xml:space="preserve">Temporary Increase in Medicare Part B Payment for Certain Biosimilar Biological Products </t>
  </si>
  <si>
    <t>Increases payment from 6% to 8% for similar biologics from Oct 1 2022-Dec 31 2027</t>
  </si>
  <si>
    <t>Expanding Eligibility for Low-Income Subsidies under Part D of the Medicare Program</t>
  </si>
  <si>
    <t>Expands eligibility to low-income beneficiaries with incomes up to 150% of poverty, and repeals the partial benefit for individuals between 135-150%</t>
  </si>
  <si>
    <t>Low-income Medicare enrollees</t>
  </si>
  <si>
    <t>Improving Access to Adult Vaccines Under Medicaid and CHIP</t>
  </si>
  <si>
    <t>Based on NC receiving ~2.3% of Medicaid dollars</t>
  </si>
  <si>
    <t>Improves access to vaccine coverage for Medicaid enrolled adults</t>
  </si>
  <si>
    <t>Adult Medicaid enrollees</t>
  </si>
  <si>
    <t xml:space="preserve">     Affordable Care Act Subsidies and Other Provisions</t>
  </si>
  <si>
    <t>Extend ARPA expanded income eligibility for ACA subsidies</t>
  </si>
  <si>
    <t>Percent of ACA marketplace enrollee's</t>
  </si>
  <si>
    <t>ARPA changes are extended to 2023-2025</t>
  </si>
  <si>
    <t xml:space="preserve">Extends ARPA expanded income eligibility for ACA subsidies for households with annual incomes above 400% of the federal poverty level (FPL). Also extends increased credit amounts that eligible households may be required to contribute toward the premium. </t>
  </si>
  <si>
    <t>HHS</t>
  </si>
  <si>
    <t>ENERGY-SECURITY PROVISIONS</t>
  </si>
  <si>
    <t xml:space="preserve">     Clean Electricity, Reducing Carbon Emissions, and Clean Transportation</t>
  </si>
  <si>
    <t>Extension and Modification of Credit for Electricity Produced from Certain Renewable Resources</t>
  </si>
  <si>
    <t>Based on recent NC share of non-hydroelectric renewable energy production (2.1%-2.4%, plus a 1% buffer) (EIA)</t>
  </si>
  <si>
    <t>Extends production credit through 2024, with some provisions having other timelines</t>
  </si>
  <si>
    <t>Extends production tax credit for renewable facilities beginning construction and revives credit for solar facilities. Requires large facilities to meet wage and apprenticeship requirements to receive full credit of 2.6 cents per kWh and provides a bonus credit for domestic content and facilities in "energy communities."</t>
  </si>
  <si>
    <t>Treasury, DOE</t>
  </si>
  <si>
    <t>DEQ, NCUC</t>
  </si>
  <si>
    <t>Electric utilities, renewable energy developers, utility customers, local governments and communities hosting potential project sites</t>
  </si>
  <si>
    <t>EIA</t>
  </si>
  <si>
    <t>Extension and Modification of Energy Credit</t>
  </si>
  <si>
    <t>Extends and modifies investment credit through 2024</t>
  </si>
  <si>
    <t>Extends and modifies the investment tax credit for renewable and related facilities that meet wage and apprenticeship standards. Extends credit for geothermal heat pumps and provides a bonus credit for domestic content.</t>
  </si>
  <si>
    <t>Increase in Energy Credit for Solar and Wind Facilities Placed in Service in Connection with Low-Income Communities</t>
  </si>
  <si>
    <t>Competitive</t>
  </si>
  <si>
    <t>Included in estimates of 13101 &amp; 13102</t>
  </si>
  <si>
    <t>2023-2024</t>
  </si>
  <si>
    <t>Allocates of 1.8 gigawatts for environmental justice solar and wind capacity credits. Eligible projects of 5 megawatts or less receive a bonus credit of 10% for projects in a low-income community or Indian land and 20% for a project with direct benefits for low-income communities.</t>
  </si>
  <si>
    <t>Electric utilities, renewable energy developers, low- and moderate-income utility customers, local governments and communities hosting potential project sites</t>
  </si>
  <si>
    <t>NC Clean Energy Technology Center</t>
  </si>
  <si>
    <t>Extension and Modification of Credit for Carbon Oxide Sequestration</t>
  </si>
  <si>
    <t>Based on NC's share of CO2 emissions from electric power and industrial facilities in 2019 (2.1% plus a 1% buffer)</t>
  </si>
  <si>
    <t>Extends sunset from 2025 through 2032</t>
  </si>
  <si>
    <t>Increases and extends tax credit for carbon capture and sequestration and allows smaller facilities to qualify.</t>
  </si>
  <si>
    <t>Electric utilities, operators of large industrial facilities, manufacturers of devices for capturing carbon oxide from power plants and industrial facilities or using direct air capture</t>
  </si>
  <si>
    <t>Zero-Emission Nuclear Power Production Credit</t>
  </si>
  <si>
    <t>Based on NC's recent national share of nuclear power generation (5.1%-5.5%, plus a 1% buffer)</t>
  </si>
  <si>
    <t>2024-2032</t>
  </si>
  <si>
    <t>Creates a new tax credit of up to $.03/kWh for electricity produced by qualified taxpayer-owned nuclear power plants.</t>
  </si>
  <si>
    <t>Electric utilities operating nuclear power plants, local governments and communities hosting nuclear power plants</t>
  </si>
  <si>
    <t>Clean Electricity Production Credit</t>
  </si>
  <si>
    <t>2025-2034 (or later)</t>
  </si>
  <si>
    <t>Creates a new clean electricity production tax credit to replace the existing PTC starting in 2025. Only electricity produced with zero greenhouse gas emissions would qualify, and the credit would phase out over two years after the later of 2032 or when the US reaches its GGE targets.</t>
  </si>
  <si>
    <t>Clean Electricity Investment Credit</t>
  </si>
  <si>
    <t>Creates a new clean electricity investment tax credit for qualifying zero-emissions electricity generation facilities or energy storage technology. This includes bonus credits for domestic content and projects placed in an energy community. The credit includes a separate allocation for small projects serving low-income communities.</t>
  </si>
  <si>
    <t>Cost Recovery for Qualified Facilities and Property and Energy Storage Technology</t>
  </si>
  <si>
    <t>Allows property that qualifies for the revised production or investment tax credits to be considered five-year property for depreciation after 2024.</t>
  </si>
  <si>
    <t>Electric utilities, renewable energy developers</t>
  </si>
  <si>
    <t xml:space="preserve">     Clean Fuels</t>
  </si>
  <si>
    <t>Extension of incentives for biodiesel, renewable diesel, and alternative fuels</t>
  </si>
  <si>
    <t>Based on past NC share of alternative fuel incentives dating back to 2015.</t>
  </si>
  <si>
    <t>Extend sunset from 2021 through 2024</t>
  </si>
  <si>
    <t>Extends tax credits for AFVs and alt fuel mixtures and biodiesel through 2024 and establishes rule for paying claims for tax credits during period of retroactive eligibility.</t>
  </si>
  <si>
    <t>DOE</t>
  </si>
  <si>
    <t>USDOT, DEQ</t>
  </si>
  <si>
    <t>AFDC</t>
  </si>
  <si>
    <t>Extension of Second Generation Biofuel Incentives</t>
  </si>
  <si>
    <t>Based on past NC share of alternative fuel incentives</t>
  </si>
  <si>
    <t>Extends $1.01-per-gallon income tax credit for 2nd-generation biofuel producer tax credit through 12/31/24.</t>
  </si>
  <si>
    <t>Sustainable Aviation Fuel Credit</t>
  </si>
  <si>
    <t>Based on previous NC share of renewable energy incentives?</t>
  </si>
  <si>
    <t>New tax credit for sale or mixture of "sustainable" aviation fuel starting 2023</t>
  </si>
  <si>
    <t>Creates tax credit for sale or mixture of sustainable aviation fuel starting in 2023. Base amount of $1.25 per gallon, with a supplemental credit amount of $0.01 per gallon for each percentage point by which the lifecycle greenhouse gas emissions reduction percentage for the fuel exceeds 50%.</t>
  </si>
  <si>
    <t>Clean Hydrogen</t>
  </si>
  <si>
    <t>New tax credit for clean hydrogen produced at qual facility produced during its first 10 yrs of operation</t>
  </si>
  <si>
    <t>Creates a 10 year tax credit for qualififed clean hydrogen production. New facilities must begin construction before 1/1/33.</t>
  </si>
  <si>
    <t>Clean Fuel Production Credit</t>
  </si>
  <si>
    <t>Starting in 2025</t>
  </si>
  <si>
    <t xml:space="preserve">Creates tax credit for domestic clean fuel production starting in 2025. </t>
  </si>
  <si>
    <t xml:space="preserve">     Clean Energy and Efficiency Incentives for Individuals</t>
  </si>
  <si>
    <t>Extension, Increase, and Modifications of Nonbusiness Energy Property Credit</t>
  </si>
  <si>
    <t>Extends tax credit through 2032</t>
  </si>
  <si>
    <t>Expands tax credit for residential energy efficiency modifications and replaces the $500 lifetime cap per taxpayer with higher annual caps.</t>
  </si>
  <si>
    <t>SEO</t>
  </si>
  <si>
    <t>DEQ</t>
  </si>
  <si>
    <t>Residential Clean Energy Credit</t>
  </si>
  <si>
    <t>Extends through 2034</t>
  </si>
  <si>
    <t>Expands and extends a tax credit for the purchase of property for solar, wind, fuel cell, and biomass energy.</t>
  </si>
  <si>
    <t>Energy Efficient Commercial Buildings Deduction</t>
  </si>
  <si>
    <t>Updates efficiency requirements for permanent tax deductions for energy saving property installations in commercial buildings.</t>
  </si>
  <si>
    <t>DEQ, NCDOA/UNC?</t>
  </si>
  <si>
    <t>Extension, Increase, and Modifications of New Energy Efficient Home Credit</t>
  </si>
  <si>
    <t>Extends and expands a tax credit program for contractors that build or sell energy-efficient homes.</t>
  </si>
  <si>
    <t>Treasury, DOE, HUD</t>
  </si>
  <si>
    <t>NCEQ, NCHFA</t>
  </si>
  <si>
    <t xml:space="preserve">     Clean Vehicles</t>
  </si>
  <si>
    <t>Clean Vehicle Credit</t>
  </si>
  <si>
    <t>Based on past NC market share for light-duty electric vehicles versus national average</t>
  </si>
  <si>
    <t>2023-2032</t>
  </si>
  <si>
    <t>Modifies the $7,500 tax credit for clean vehicles by eliminating the existing per manufacturer limit, allowing the credit to be claimed at the time of purchase, implementing new vehicle price caps and household income limits, requiring vehicle assembly in North America, and requiring battery minerals and components be processed/manufactured in countries with a US free-trade agreement.</t>
  </si>
  <si>
    <t>Treasury (IRS), US DOT</t>
  </si>
  <si>
    <t>NCDOT</t>
  </si>
  <si>
    <t>Purchasers of new light-duty electric vehicles, clean vehicle manufacturers, motor vehicle dealers, electric utilities</t>
  </si>
  <si>
    <t>Credit for Previously-owned Clean Vehicles</t>
  </si>
  <si>
    <t>Creates a new tax credit for buyers of qualififed previously owned clean vehicles. The credit is equal to the lesser of $4,000 or 30% of the vehicle purchase price, has household income eligibility limits, can be claimed at the time of purchase, and applies to vehicles with a price up to $25,000 that are sold by a licensed dealer.</t>
  </si>
  <si>
    <t>Purchasers of used light-duty electric vehicles, motor vehicle dealers, electric utilities</t>
  </si>
  <si>
    <t>Qualified Commercial Clean Vehicles</t>
  </si>
  <si>
    <t>Establishes tax credit for commercial clean vehicles up to $7,500 for vehicles less than 14,000 lbs. and $40,000 for heavier vehicles.</t>
  </si>
  <si>
    <t>Businesses purchasing clean vehicles, manufacturers of clean vehicles targeted to business uses, communities subject to pollution from medium- and heavy-duty vehicles</t>
  </si>
  <si>
    <t>Alternative Fuel Refueling Property Credit</t>
  </si>
  <si>
    <t>2022/2023-2032</t>
  </si>
  <si>
    <t xml:space="preserve">Extends existing 30% tax credit for residential and commercial alternative fuel refueling property through 2022 and modifies and extends the credit through 2032. </t>
  </si>
  <si>
    <t>Electric vehicle owners and businesses with clean vehicles (or serving customers with clean vehicles) in low-income urban and rural areas, electric utilities</t>
  </si>
  <si>
    <t xml:space="preserve">     Investment in Clean Energy Manufacturing and Energy Security</t>
  </si>
  <si>
    <t>Extension of the Advanced Energy Project Credit</t>
  </si>
  <si>
    <t>Available until all credits have been awarded</t>
  </si>
  <si>
    <t>Provides an allocation of $10 billion for 30% tax credits for investments in projects that reequip, expand, or establish certain energy manufacturing facilities.</t>
  </si>
  <si>
    <t>SEO, DEQ, DOC</t>
  </si>
  <si>
    <t>Advanced Manufacturing Production Credit</t>
  </si>
  <si>
    <t>Phased sunset begins in 2030, ends in 2032</t>
  </si>
  <si>
    <t>Establishes a new tax credit for making and selling wind and solar parts.</t>
  </si>
  <si>
    <t>SEO, DOC, DEQ</t>
  </si>
  <si>
    <t>private manufacturers</t>
  </si>
  <si>
    <t xml:space="preserve">     Reinstatement of Superfund</t>
  </si>
  <si>
    <t>Reinstatement of Superfund</t>
  </si>
  <si>
    <t>Assumes NC will receive between 0.5% and 1.5% of Superfund dollars, in line with NC's below-average historical amounts</t>
  </si>
  <si>
    <t>Extends and expands the Superfund excise tax, funding cleanup operations at eligible sites across the country.</t>
  </si>
  <si>
    <t>IRS, EPA</t>
  </si>
  <si>
    <t>NCDOR, NC DEQ</t>
  </si>
  <si>
    <t>Local governments and communities near Superfund sites</t>
  </si>
  <si>
    <t>CRS In Focus</t>
  </si>
  <si>
    <t xml:space="preserve">       Credit Monetization &amp; Appropriations and Other Provisions</t>
  </si>
  <si>
    <t>Allow direct payment or transfer of tax credits for energy property and energy production</t>
  </si>
  <si>
    <t>[Included in other estimates]</t>
  </si>
  <si>
    <t>Varies by tax credit</t>
  </si>
  <si>
    <t>Allows tax-exempt entities to receive direct payments in lieu of tax credits for energy property and clean electricity production. Non-tax-exempt entities can receive direct payments for a subset of tax credits or to transfer credits to other taxpayers.</t>
  </si>
  <si>
    <t>State and local governments, universities, private non-profit entities, businesses with insufficient tax liability to claim credits</t>
  </si>
  <si>
    <t>CONSERVATION, RURAL DEVELOPMENT, AND FORESTRY PROVISIONS</t>
  </si>
  <si>
    <t xml:space="preserve">     Conservation</t>
  </si>
  <si>
    <t>Additional Agricultural Conservation Investments</t>
  </si>
  <si>
    <t>Formula</t>
  </si>
  <si>
    <t>1%-3% based on number of farm and size of NC farms as share of national total</t>
  </si>
  <si>
    <t>Funds available until Sept 30 2031</t>
  </si>
  <si>
    <t>Provides funding for existing "climate-smart" USDA initiatives, including $8.5 billion for the Environmental Quality Incentives Program, $5.0 billion for the Regional Conservation Partnership Program, $3.3 billion for the Conservation Stewardship Program, and $1.4 billion for the Agricultural Conservation Easement Program.</t>
  </si>
  <si>
    <t>USDA</t>
  </si>
  <si>
    <t>DACS, DNCR</t>
  </si>
  <si>
    <t>Individual farmers, ranchers, and forest landowners</t>
  </si>
  <si>
    <t>Conservation Technical Assistance</t>
  </si>
  <si>
    <t>Discretionary</t>
  </si>
  <si>
    <t>Provides $1 billion for conservation technical assistance and $300 million to carry out a program to quantify carbon sequestration and carbon dioxide, methane, and nitrous oxide emissions. Includes $100 million for administration.</t>
  </si>
  <si>
    <t>DACS, DNCR, DEQ</t>
  </si>
  <si>
    <t>Farmers, climate researchers</t>
  </si>
  <si>
    <t xml:space="preserve">     Rural Development</t>
  </si>
  <si>
    <t>Additional Funding for Electric Loans for Renewable Energy</t>
  </si>
  <si>
    <t>Spending/
Loans</t>
  </si>
  <si>
    <t>Based on existing USDA energy investments (8%-16%)</t>
  </si>
  <si>
    <t>Provides $1 billion for partly forgivable loans for renewable energy under the Rural Electrification Act. USDA may use the funding to make loans for electric generation from renewable energy resources, including for projects that store electricity.</t>
  </si>
  <si>
    <t>DACS, DEQ</t>
  </si>
  <si>
    <t>Rural electric companies</t>
  </si>
  <si>
    <t>Rural Energy for America Program</t>
  </si>
  <si>
    <t>Provides approximately $1.7 billion for eligible projects under the Rural Energy for America Program and approximately $304 million for grants and loans for underutilized renewable energy technologies and technical assistance with REAP applications.</t>
  </si>
  <si>
    <t>DACS, DEQ, DOC</t>
  </si>
  <si>
    <t>Biofuel Infrastructure and Agriculture Product Market Expansion</t>
  </si>
  <si>
    <t>Provides $500 million for grants to increase the sale and use of agricultural commodity-based fuels through infrastructure improvements for blending, storing, supplying, or distributing biofuels.</t>
  </si>
  <si>
    <t>USDA, DOE</t>
  </si>
  <si>
    <t>Farmers</t>
  </si>
  <si>
    <t>USDA Assistance for Rural Electric Cooperatives</t>
  </si>
  <si>
    <t>Provides $9.7 billion in financial assistance (loans and grants) to eligible rural electric cooperatives for the long-term resiliency, reliability, and affordability of rural electric systems through the purchase of renewable energy, renewable energy systems, zero-emission systems, carbon capture and storage systems, and more.</t>
  </si>
  <si>
    <t>DEQ, DACS</t>
  </si>
  <si>
    <t>Rural cooperatives, local governments</t>
  </si>
  <si>
    <t>Additional USDA Rural Development Administrative Funds</t>
  </si>
  <si>
    <t>Provides $100 million to USDA for administrative costs related to rural development.</t>
  </si>
  <si>
    <t>IRA</t>
  </si>
  <si>
    <t>Farm Loan Immediate Relief for Borrowers with At-Risk Agricultural Operations</t>
  </si>
  <si>
    <t>1%-4% based on NC borrowers' USDA total loan share (1.7%) and socially disadvantaged share (4.2%) in FFY21</t>
  </si>
  <si>
    <t>Provides relief, in the form of loan forgiveness or modification, to distressed borrowers with USDA loans whose farms are facing "financial risk."</t>
  </si>
  <si>
    <t>DACS</t>
  </si>
  <si>
    <t>Struggling farmers</t>
  </si>
  <si>
    <t>USDA Assistance and Support for Underserved Farmers, Ranchers, and Foresters</t>
  </si>
  <si>
    <t>1.5%-3% based on NC's share of USDA loans to socially disadvantaged, beginning, and veteran borrowers in FFY21</t>
  </si>
  <si>
    <t>Provides assistance to farmers who are 1) located high-poverty areas, 2) veterans, 3) limited-resource producers, or 4) beginning farmers and ranchers. Most of the assistance (up to $2.2 billion) consists of financial assistance to farmers who experienced negative consequences due to discrimination from USDA lending programs.</t>
  </si>
  <si>
    <t>Farmers, particularly farmers who have faced discrimination from the USDA loan programs</t>
  </si>
  <si>
    <t>Repeal of Farm Loan Assistance</t>
  </si>
  <si>
    <t>Repeals a farm loan-relief program authorized by ARPA but blocked by federal courts. Congress intended several of the above programs to replace this blocked ARPA program.</t>
  </si>
  <si>
    <t xml:space="preserve">     Forestry</t>
  </si>
  <si>
    <t>National Forest System Restoration and Fuels Reduction Projects</t>
  </si>
  <si>
    <t>Provides over $2 billion in funding for the National Forest System, including: hazardous fuels reduction, vegetation management projects, environmental reviews, and protection/inventory of old growth forests.</t>
  </si>
  <si>
    <t>USDA/USFS</t>
  </si>
  <si>
    <t>NC tourism</t>
  </si>
  <si>
    <t>Competitive Grants for Non-Federal Forest Landowners</t>
  </si>
  <si>
    <t xml:space="preserve">Based on 3% (+/- 1%) NC share of total non-federally owned forest in U.S.  </t>
  </si>
  <si>
    <t>Provides $550 million in grant funding for forest landowner participation in climate mitigation and forest resilience practices, $50 million of which is for states/other eligible entities to provide payments to owners of private forest land for carbon sequestion and storage.</t>
  </si>
  <si>
    <t>Dept of Ag/USFS</t>
  </si>
  <si>
    <t>NCFS</t>
  </si>
  <si>
    <t>CRS Forest</t>
  </si>
  <si>
    <t>State and Private Forestry Conservation Programs</t>
  </si>
  <si>
    <t>Based on 3% (+/- 1%) NC share of total non-federally owned forest in U.S.</t>
  </si>
  <si>
    <t>Provies $2.2 billion in grant funding for acquisition of land and interests in land and for tree planting and related conservation activities.</t>
  </si>
  <si>
    <t>NCFS, DEQ, DNCR</t>
  </si>
  <si>
    <t>Other state agencies, local governments, Indian Tribes, nonprofits, NC tourism</t>
  </si>
  <si>
    <t>USFS</t>
  </si>
  <si>
    <t>Administrative Costs</t>
  </si>
  <si>
    <t>Provides $100 million to USDA for administrative support of the above items.</t>
  </si>
  <si>
    <t>DEFENSE PRODUCTION ACT AND HOUSING PROVISIONS</t>
  </si>
  <si>
    <t>Enhanced use of Defense Production Act</t>
  </si>
  <si>
    <t>Rough guesstimate up to 10% allocated to NC for lithium mining</t>
  </si>
  <si>
    <t>FFYs 2023-2029</t>
  </si>
  <si>
    <t>Provides $500 million to support efforts to increase the extraction and processing of minerals critical for the production of clean technology products and reduce reliance on vulnerable supply chains.</t>
  </si>
  <si>
    <t>Treasury</t>
  </si>
  <si>
    <t>NC DEQ (for mineral projects)</t>
  </si>
  <si>
    <t>Local governments and residents, particularly in Cleveland and Gaston counties</t>
  </si>
  <si>
    <t>Sen. Dems summary</t>
  </si>
  <si>
    <t>Improving Energy/Water Efficiency and Climate Resilience of Affordable Housing</t>
  </si>
  <si>
    <t>Assumes NC share (less admin costs) will be between half and 1.2 times US population share</t>
  </si>
  <si>
    <t>FFYs 2023-2032</t>
  </si>
  <si>
    <t>Provides ~$990 million in fundings to retrofit HUD-subsidized affordable housing to improve energy and water efficiency, electrify homes, and to enhance climate resilience.</t>
  </si>
  <si>
    <t>HUD</t>
  </si>
  <si>
    <t>NC HFA, NC DHHS</t>
  </si>
  <si>
    <t>Managers and residents of HUD-subsidized properties, including many local governments</t>
  </si>
  <si>
    <t>FFIS</t>
  </si>
  <si>
    <t>SCIENCE AND CLIMATE RESILIENCE PROVISIONS</t>
  </si>
  <si>
    <t>Investing in Coastal Communities and Climate Resilience</t>
  </si>
  <si>
    <t>Formula/Competitive</t>
  </si>
  <si>
    <t>Min based on 1% NC share of total U.S. residents of coastal counties; Max based on 3% N.C. share of FEMA non-covid funding 2017-2019.</t>
  </si>
  <si>
    <t>FFYs 2022-2026</t>
  </si>
  <si>
    <t>Provides $2.6 billion in funding for NOAA for coastal and climate resiliency projects.</t>
  </si>
  <si>
    <t>NOAA</t>
  </si>
  <si>
    <t>DEQ, DNCR, UNC System, NC Community College System, Commission of Indian Affairs</t>
  </si>
  <si>
    <t>State and local governments, Tribal governments, non-profits, property owners and citizens of NC's coastal counties, commercial and recreational fishers, NC Homebuilders Assn, NC DOI.</t>
  </si>
  <si>
    <t>NOAA Press Release</t>
  </si>
  <si>
    <t>FEMA</t>
  </si>
  <si>
    <t>Facilities of the NOAA and National Marine Sanctuaries</t>
  </si>
  <si>
    <t>Provides $150 million in funding for NOAA for facility construction work and $50 million for marine sanctuary facilities.</t>
  </si>
  <si>
    <t>NOAA Efficient and Effective Reviews</t>
  </si>
  <si>
    <t>Provides $20 million in funding for NOAA  process improvements for hiring and training of personnel as well as for purchase of services and equipment.</t>
  </si>
  <si>
    <t>Oceanic and Atmospheric Research and Forecasting for Weather and Climate</t>
  </si>
  <si>
    <t>Based on 3% (+/- 1%) NC share of U.S. population as of 2020.</t>
  </si>
  <si>
    <t>Provides $150 million in funding for NOAA for research and forecasting innovation and $50 million for competitive grants to fund climate research.</t>
  </si>
  <si>
    <t>UNC System, DEQ, DNCR</t>
  </si>
  <si>
    <t>Climate researchers</t>
  </si>
  <si>
    <t>U.S. Census</t>
  </si>
  <si>
    <t>Computing Capacity and Research for Weather, Oceans, Climate</t>
  </si>
  <si>
    <t>Provides $190 million in funding for NOAA to procure computing, data processing, data management and storage assets.</t>
  </si>
  <si>
    <t>Acquisition of Hurricane Forecasting Aircraft</t>
  </si>
  <si>
    <t>Provides $100 million in funding for NOAA to acquire of hurricane hunter aircraft.</t>
  </si>
  <si>
    <t>Alternative Fuel and Low-Emission Aviation Technology</t>
  </si>
  <si>
    <t>TBD</t>
  </si>
  <si>
    <t>Provides grant funding: $245 million for sustainable aviation fuel; $47 million for low-emission aviation technology. Federal cost share 75% (90% if entity is a small hub or nonhub airport).</t>
  </si>
  <si>
    <t>DOT</t>
  </si>
  <si>
    <t>NCDOT, UNC System</t>
  </si>
  <si>
    <t xml:space="preserve">State or local government, air carriers/operators, airport sponsors, institutions of higher learning, research institutions, non profits. </t>
  </si>
  <si>
    <t>Triad Business Journal</t>
  </si>
  <si>
    <t>ENERGY AND NATURAL RESOURCES PROVISIONS</t>
  </si>
  <si>
    <t xml:space="preserve">     Energy</t>
  </si>
  <si>
    <t>Home Energy Performance-Based, Whole-House Rebates</t>
  </si>
  <si>
    <t>OSBM calculation based on State Energy Program FY22 Allocation</t>
  </si>
  <si>
    <t>Provides $4.3 billion in funding to state energy offices to develop a HOMES program for performance-based rebates up to $8,000 for low- and moderate-income households ($4,000 for other households) for energy-efficiency upgrades to single and multi-family homes.</t>
  </si>
  <si>
    <t>NCEO, DEQ</t>
  </si>
  <si>
    <t>Homeowners and owners of residential rental units, residential contractors, electric utilities, community groups</t>
  </si>
  <si>
    <t>Columbia Law School Climate Law Blog</t>
  </si>
  <si>
    <t>High-Efficiency Electric Home Rebate Program</t>
  </si>
  <si>
    <t>Provides $4.275 billion in funding to state energy offices to develop a HEEHR program for rebates up to $14,000 for low- and moderate-income households to purchase and install efficient electrical appliances and make electrical and weatherization upgrades to their home. Proides $225 million in funding to Indian tribes for a parallel program.</t>
  </si>
  <si>
    <t>Homeowners and owners of residential rental units, tribal governments, residential contractors, electric utilities, community groups</t>
  </si>
  <si>
    <t>Akin Gump summary</t>
  </si>
  <si>
    <t>State-Based Home Energy Efficiency Contractor Training Grants</t>
  </si>
  <si>
    <t>Assuming allocations will be similar to HEEHR distribution</t>
  </si>
  <si>
    <t>Provides $200 million in funding for DOE to provide financial assistance to states to establish contractor training programs for home energy efficiency and electrification.</t>
  </si>
  <si>
    <t>Residential contractors, nonprofit organizations focused on home energy efficiency</t>
  </si>
  <si>
    <t>Assistance for Latest and Zero Building Energy Code Adoption</t>
  </si>
  <si>
    <t>Assume NC will receive between 0% and 5% of national amount</t>
  </si>
  <si>
    <t>FFYs 2022-2029</t>
  </si>
  <si>
    <t>Provides $1 billion in funding to states and local governments with authority to adopt building codes for the adoption and implementation of latest building codes and zero-energy building codes.</t>
  </si>
  <si>
    <t>Building Code Council, NC DOI/OSFM</t>
  </si>
  <si>
    <t>Residential and commercial building contractors</t>
  </si>
  <si>
    <t>Funding for DOE Loan Programs Office</t>
  </si>
  <si>
    <t>Loans</t>
  </si>
  <si>
    <t>Assume NC will receive between 1% and 5% of national amount</t>
  </si>
  <si>
    <t>Provides DOE with the authority to guarantee up to $40 billion in loans for eligible projects, including renewable energy systems, advanced nuclear technology, carbon capture and storage, producing clean vehicles, and others.</t>
  </si>
  <si>
    <t>NCUC, NC Commerce, DEQ</t>
  </si>
  <si>
    <t>NC electric utilities, renewable facility construction contractors, manufacturers, research universities, local governments</t>
  </si>
  <si>
    <t>Advanced Technology Vehicle Manufacturing</t>
  </si>
  <si>
    <t>Available through 09/30/2028</t>
  </si>
  <si>
    <t>Provides DOE with $3 billion in funding for direct loans to build, expand, or reequip facilities for manufacturing low- or zero-emission vehicles.</t>
  </si>
  <si>
    <t>NC Commerce, DEQ</t>
  </si>
  <si>
    <t>Clean vehicle manufacturers, local governments</t>
  </si>
  <si>
    <t>EM</t>
  </si>
  <si>
    <t>Domestic Manufacturing Conversion Grants</t>
  </si>
  <si>
    <t>Available through 09/30/2031</t>
  </si>
  <si>
    <t>Provides DOE with $2 billion to award grants of up to 50% of the cost for projects to produce clean vehicles in the US.</t>
  </si>
  <si>
    <t>Energy Infrastructure Reinvestment Financing</t>
  </si>
  <si>
    <t>Assume NC will receive between 1.5% and 4% of national amount</t>
  </si>
  <si>
    <t>Available through 09/30/2026</t>
  </si>
  <si>
    <t>Provides DOE with the authority to guarantee up to $250 billion in loans (with up to $5 billion in losses) to retool, repurpose, or replace non-operating energy infrastructure or reduce pollution at operating energy infrastructure.</t>
  </si>
  <si>
    <t>DOE, FERC</t>
  </si>
  <si>
    <t>NCUC, DEQ</t>
  </si>
  <si>
    <t>Electric utilities and other owners/operators of energy infrastructure, local governments, communities near polluting energy infrastructure</t>
  </si>
  <si>
    <t>Tribal Energy Loan Guarantee Program</t>
  </si>
  <si>
    <t>Provides DOE with the authority to guarantee up to $20 billion in loans (with up to $75 million in losses) to expand the provision of electricity to tribal areas.</t>
  </si>
  <si>
    <t>NCUC?</t>
  </si>
  <si>
    <t>NC tribal governments, electric utilities, energy infrastructure developers</t>
  </si>
  <si>
    <t>Transmission Facility Financing</t>
  </si>
  <si>
    <t>Available through 09/30/2030</t>
  </si>
  <si>
    <t>Provides DOE with $2 billion in funding for direct loans for the construction or modification of electric transmission facilities that DOE determines to be in the "national interest."</t>
  </si>
  <si>
    <t>Electric utilities and other owners/operators of energy infrastructure, local governments, energy infrastructure developers</t>
  </si>
  <si>
    <t>Grants to Facilitate the Siting of Interstate Electricity Transmission Lines</t>
  </si>
  <si>
    <t>Assume NC will receive between 1.5% and 4% of national amount of grants</t>
  </si>
  <si>
    <t>Available through 09/30/2029</t>
  </si>
  <si>
    <t>Provides DOE with $760 million to award grants to facilitate siting for interstate/offshore electrical transmission projects and for economic development activities in surrounding communities.</t>
  </si>
  <si>
    <t>Electric utilities and other owners/operators of energy infrastructure, local governments and community groups, energy infrastructure developers</t>
  </si>
  <si>
    <t>Interregional and Offshore Wind Electricity Transmission Planning, Modeling, and Analysis</t>
  </si>
  <si>
    <t>Discretionary/Competitive</t>
  </si>
  <si>
    <t>Assume NC will receive between 2% and 5% of national amount of grants</t>
  </si>
  <si>
    <t>Provides DOE with $100 million to award grants for planning, modeling, and analyzing interregional and offshore wind energy transmission projects.</t>
  </si>
  <si>
    <t>Advanced Industrial Facilities Deployment Program</t>
  </si>
  <si>
    <t>Provides DOE with $5.8 billion to award grants or other financial assistance to industrial facilities for up to 50% of the cost of adopting advanced technology to reduce greenhouse gas emissions.</t>
  </si>
  <si>
    <t>Manufacturers, research universities</t>
  </si>
  <si>
    <t>DOE Oversight</t>
  </si>
  <si>
    <t>Provides funding to the DOE Office of Inspector General for program oversight.</t>
  </si>
  <si>
    <t>National Laboratory Infrastructure</t>
  </si>
  <si>
    <t>Available through 09/30/2027</t>
  </si>
  <si>
    <t>Provides funding for infrastructure and scientific research in areas including high-energy physics, nuclear and fusion energy, nuclear physics, nuclear and basic energy sciences, renewables and energy efficiency, and fossil energy and carbon management.</t>
  </si>
  <si>
    <t>Research universities, scientific research companies</t>
  </si>
  <si>
    <t>Availability of High-Assay Low-Enriched Uranium</t>
  </si>
  <si>
    <t>Provides funding for programs aiming to improve the security and availability of High-Assay Low-Enriched Uranium for non-military uses.</t>
  </si>
  <si>
    <t xml:space="preserve">     Natural Resources</t>
  </si>
  <si>
    <t>National Parks and Public Lands Conservation and Resilience</t>
  </si>
  <si>
    <t>Based on previous estimates of NC share of NPS/BLM funding received</t>
  </si>
  <si>
    <t>Provides funds for projects for conservation, protection, and resiliency of lands and resources administered by the National Park Service and Bureau of Land Management.</t>
  </si>
  <si>
    <t>NPS, BLM</t>
  </si>
  <si>
    <t>National Parks and Public Lands Conservation and Ecosystem Restoration</t>
  </si>
  <si>
    <t>Provides funds for conservation, ecosystem, and habitat restoration projects on lands administered by the National Park Service and Bureau of Land Management.</t>
  </si>
  <si>
    <t>National Park Service Employees</t>
  </si>
  <si>
    <t>Provides funding to hire employees to serve in units of the National park System or national historic or national scenic trails administered by the National Park Service.</t>
  </si>
  <si>
    <t>NPS</t>
  </si>
  <si>
    <t>National Park System Deferred Maintenance</t>
  </si>
  <si>
    <t>Provides funding to carry out priority deferred maintenance project within the boundaries of the National Park System.</t>
  </si>
  <si>
    <t>Bureau of Reclamation Domestic Water Supply Projects</t>
  </si>
  <si>
    <t>Appropriates funds for grants, contracts, and/or financial assistance for disadvantaged communities for water projects that do not have reliable access to water supplies.</t>
  </si>
  <si>
    <t>Bureau of Reclamation</t>
  </si>
  <si>
    <t>Canal Improvement Projects</t>
  </si>
  <si>
    <t>Appropriates funding for projects to cover canals with solar panels to generate renewable energy and increase water efficiency.</t>
  </si>
  <si>
    <t>Drought Mitigation in the Reclamation States</t>
  </si>
  <si>
    <t>Provides funding for grants, contracts, and/or financial assistance agreements to mitigate impacts of droughts, with priority given to Colorado River Basin states and other Western-state basins experiencing long-term drought conditions.</t>
  </si>
  <si>
    <t>Office of Insular Affairs Climate Change Technical Assistance</t>
  </si>
  <si>
    <t>Provides funding for technical assistance for climate change planning, mitigation, adaption, and resilience to United States Insular Areas (i.e., US territories).</t>
  </si>
  <si>
    <t>Office of Insular Affairs</t>
  </si>
  <si>
    <t>Leasing on the Outer Continental Shelf</t>
  </si>
  <si>
    <t>Initial calls for leases to begin no later than 09/30/2025</t>
  </si>
  <si>
    <t>Repeals the Trump administration's moratorium on offshore wind leases off the Southeast coast.</t>
  </si>
  <si>
    <t>BOEM, Treasury</t>
  </si>
  <si>
    <t>NCUC, NC Ports Authority</t>
  </si>
  <si>
    <t>Wind turbine manufacturers and installers, electric utilities</t>
  </si>
  <si>
    <t>NC League of Conservation Voters</t>
  </si>
  <si>
    <t xml:space="preserve">     Fossil Fuel Resources</t>
  </si>
  <si>
    <t>Offshore Oil and Gas Royalty Rate</t>
  </si>
  <si>
    <t>Regulation/Other Revenue</t>
  </si>
  <si>
    <t>Effective immediately, with cap effective until 2032</t>
  </si>
  <si>
    <t>Raises oil and gas royalty rate for certain offshore leases from current 12.5% to between 16.67% and 18.75% for ten years (and keeping the minimum 16.67% rate after ten years with no statutory cap).</t>
  </si>
  <si>
    <t>DOI</t>
  </si>
  <si>
    <t>POGO</t>
  </si>
  <si>
    <t>Mineral Leasing Act Modernization</t>
  </si>
  <si>
    <t>Revenues included in Sec. 50261</t>
  </si>
  <si>
    <t>Effective immediately</t>
  </si>
  <si>
    <t>Makes various changes and updates to 1920 Mineral Leasing Act, including raising the onshore gas and royalty rate from 12.5% to 16.67% and eliminating the practice of noncompetitive bidding for leases.</t>
  </si>
  <si>
    <t>Royalties on all Extracted Methane</t>
  </si>
  <si>
    <t>Requires royalties to be paid on all gas produced on leased land, including gas that is lost through venting, flaring, and negligent releases.</t>
  </si>
  <si>
    <t>Lease Sales Under 2017-22 Outer Continental Shelf Leasing Program</t>
  </si>
  <si>
    <t>Requires the Secretary of the Interior to accept bids for certain federal offshore oil and gas lease areas.</t>
  </si>
  <si>
    <t>Ensuring Energy Security</t>
  </si>
  <si>
    <t>Effective through August 2032</t>
  </si>
  <si>
    <t>Makes the development of solar and wind projects on Federal land contingent upon first making oil and gas leases, and makes the development of offshore wind projects contingent upon making an offshore oil and gas lease in the prior year. This provision expires after ten years.</t>
  </si>
  <si>
    <t>NCUC</t>
  </si>
  <si>
    <t>Local governments and communities that may be connected to offshort wind projects</t>
  </si>
  <si>
    <t xml:space="preserve">     US Geological Survey, DOI Oversight, and Environmental Reviews</t>
  </si>
  <si>
    <t>USGS 3D Elevation Program</t>
  </si>
  <si>
    <t>Appropriates funds for USGS to produce, collect, disseminate, and use 3D elevation data.</t>
  </si>
  <si>
    <t>DOI-USGS</t>
  </si>
  <si>
    <t>DOI Oversight</t>
  </si>
  <si>
    <t>Appropriates funds for oversight for the Office of the Inspector General of the Department of the Interior.</t>
  </si>
  <si>
    <t>Environmental Reviews: DOE</t>
  </si>
  <si>
    <t>Appropriates funds for activities necessary to carry out timely and efficient environmental reviews for the Department of Energy.</t>
  </si>
  <si>
    <t>Environmental Reviews: FERC</t>
  </si>
  <si>
    <t>Appropriates funds for activities necessary to carry out timely and efficient environmental reviews for the Federal Energy Regulatory Commission.</t>
  </si>
  <si>
    <t>FERC</t>
  </si>
  <si>
    <t>Electric utilities</t>
  </si>
  <si>
    <t>Environmental Reviews: DOI</t>
  </si>
  <si>
    <t>Appropriates funds for activities necessary to carry out timely and efficient environmental reviews for the Department of the Interior.</t>
  </si>
  <si>
    <t>ENVIRONMENT AND PUBLIC WORKS PROVISIONS</t>
  </si>
  <si>
    <t xml:space="preserve">     Air Pollution</t>
  </si>
  <si>
    <t>Clean Heavy-Duty Vehicles</t>
  </si>
  <si>
    <t>Based on past NC market share for light-duty electric vehicles versus national average and absence of nonattainment counties in NC</t>
  </si>
  <si>
    <t>Provides funds to states, local governments, Indian Tribes, and school-transportation associations for replacing eligible heavy-duty vehicles with ZEVs, including costs for associated infrastructure and training. Reserves $400 million of $1 billion total for air pollution non-attainment areas.</t>
  </si>
  <si>
    <t>EPA</t>
  </si>
  <si>
    <t>DEQ, DOA, DPI</t>
  </si>
  <si>
    <t>Local and tribal governments; LEAs</t>
  </si>
  <si>
    <t>EPA Green Book</t>
  </si>
  <si>
    <t>US Senate EPW Committee</t>
  </si>
  <si>
    <t>Grants to Reduce Air Pollution at Ports</t>
  </si>
  <si>
    <t>Based on past NC share of waterborne foreign container trade and absence of nonattainment counties in NC</t>
  </si>
  <si>
    <t>Provides funding to install zero-emission port equipment and technology, including costs for planning. Reserves $750 million of $3 billion total for air pollution non-attainment areas.</t>
  </si>
  <si>
    <t>DEQ, NC Commerce, NCDOT (Ports Authority)</t>
  </si>
  <si>
    <t>Ports of Wilmington and Morehead City (and hosting municipalities); New Hanover County; Carteret County</t>
  </si>
  <si>
    <t>Greenhouse Gas Reduction Fund</t>
  </si>
  <si>
    <t>Assume NC will receive between 1.5% and 4% of national amount (based on population share)</t>
  </si>
  <si>
    <t>Available through 9/30/2024</t>
  </si>
  <si>
    <t>Provides grants to enable low-income and disadvantaged communities to benefit from adoption of zero-emission technologies and other projects, particularly through public-private partnerships, to reduce greenhouse gas emissions and other air pollution.</t>
  </si>
  <si>
    <t>DEQ, NC Commerce</t>
  </si>
  <si>
    <t>Local and tribal governments; nonprofit organizations focusing on low-income communities; businesses that manufacture or install zero-emissions technology</t>
  </si>
  <si>
    <t>Diesel Emissions Reductions</t>
  </si>
  <si>
    <t>Provides EPA with funds to identify and reduce diesel emissions associated with goods-moving facilities near low-income and disadvantaged communities.</t>
  </si>
  <si>
    <t>Businesses operating railyards, airports, and distribution centers near low-income communities (and the communities themselves)</t>
  </si>
  <si>
    <t>Funding to Address Air Pollution</t>
  </si>
  <si>
    <t>Provides EPA with funding for 1) additional air-quality monitoring, 2) emissions-reduction projects, and 3) assistance to states to adopt standards to implement emissions standards from mobile sources.</t>
  </si>
  <si>
    <t>Industrial facilities that produce emissions; gas and electric utilities</t>
  </si>
  <si>
    <t>Funding to Address Air Pollution at Schools</t>
  </si>
  <si>
    <t>Provides EPA with funding to monitor and reduce greenhouse gas emissions and other air pollutants at schools in low-income and disadvantaged communities (includes direct technical assistance to schools).</t>
  </si>
  <si>
    <t>DEQ, DPI</t>
  </si>
  <si>
    <t>LEAs and local governments</t>
  </si>
  <si>
    <t>Low Emissions Electricity Program</t>
  </si>
  <si>
    <t>Provides funds for the EPA to develop programs for education, technical assistance, and partnerships with respect to reductions in greenhouse gas emissions from electricity use.</t>
  </si>
  <si>
    <t>DEQ, NCUC, NC Commerce</t>
  </si>
  <si>
    <t>Electric utilities; Climate- and pollution-focused community organizations</t>
  </si>
  <si>
    <t>Funding for Section 211(O) of the Clean Air Act</t>
  </si>
  <si>
    <t>Discretionary/
Competitive</t>
  </si>
  <si>
    <t>Provides EPA with funding to develop tests and protocols for fuels and fuel additives ($5 million) and to provide grants to support investment in advanced biofuels.</t>
  </si>
  <si>
    <t>Manufacturers developing new biofuels; livestock farms and agribusinesses; university researchers</t>
  </si>
  <si>
    <t>Funding for Implementation of the American Innovation and Manufacturing Act</t>
  </si>
  <si>
    <t>Provides funding to accelerate phasing out and reclaiming hydrofluorocarbons (HFCs) and transitioning to next-generation substitutes for HFCs.</t>
  </si>
  <si>
    <t>Manufacturers that produce or use HFCs; Industry and university researchers working on HFC alternatives</t>
  </si>
  <si>
    <t>Funding for Enforcement Technology and Public Information</t>
  </si>
  <si>
    <t>Assume NC will receive between 2% and 4% of national amount for state grants ($3 million)</t>
  </si>
  <si>
    <t>Provides funding to EPA to modernize its Integrated Compliance Information System (ICIS), including grants to state environmental agencies to update their own systems to improve integration with ICIS; also provides funds to acquire or update inspection software and related hardware.</t>
  </si>
  <si>
    <t>EPA/DEQ permittees</t>
  </si>
  <si>
    <t>Greenhouse Gas Corporate Reporting</t>
  </si>
  <si>
    <t>Provides funding to EPA to support standardization, transparency, and accountability for corporate climate commitments.</t>
  </si>
  <si>
    <t>Corporations that have made climate commitments, including some with major operations in NC</t>
  </si>
  <si>
    <t>Environmental Product Declaration Assistance</t>
  </si>
  <si>
    <t>Provides funds for the EPA to provide grants and technical assistance to manufacturers of construction materials and products to measure, report, and reduce the amount of embodied greenhouse gas emissions (GGE) in their products. Also provides funds to states and local governments to support businesses reporting embodied GGE in construction materials/products.</t>
  </si>
  <si>
    <t>DEQ, DOA, NCDOT, DPI</t>
  </si>
  <si>
    <t>Manufacturers of construction materials and products; state agencies and local governments with construction projects</t>
  </si>
  <si>
    <t>Methane Emissions Reduction Program</t>
  </si>
  <si>
    <t>Formula or Competitive, TBD</t>
  </si>
  <si>
    <t>Assumes NC share will be 0.5-1.5% of total, as most funds will likely flow to oil and gas states</t>
  </si>
  <si>
    <t>Available through 9/30/2028</t>
  </si>
  <si>
    <t>Imposes a charge on methane emissions starting in 2025 and includes financial incentives for methane mitigation and monitoring (including from conventional wells) and other grants for methane emissions reduction.</t>
  </si>
  <si>
    <t>NC gas and electric utilities; gas pipeline operators; large end-users of natural gas</t>
  </si>
  <si>
    <t>Climate Pollution Reduction Grants</t>
  </si>
  <si>
    <t>Formula/
Competitive</t>
  </si>
  <si>
    <t>Assumes NC share will be 2-4% of total (NC population share +/- 1%)</t>
  </si>
  <si>
    <t>Available through 9/30/2031</t>
  </si>
  <si>
    <t>Creates a competitive grant program for states and local/tribal governments to develop and implement plans to reduce greenhouse gas emissions and other air pollution.</t>
  </si>
  <si>
    <t>Local and tribal governments</t>
  </si>
  <si>
    <t>Environmental Protection Agency Efficient, Accurate, and Timely Reviews</t>
  </si>
  <si>
    <t>Available through 9/30/2026</t>
  </si>
  <si>
    <t>Provides funding to EPA to hire additional staff and develop a more efficient permitting process.</t>
  </si>
  <si>
    <t>Low-Embodied Carbon Labeling for Construction Materials</t>
  </si>
  <si>
    <t>Provides funding for EPA to administer program for labeling of construction materials based on amount of greenhouse gas emissions used to produce those materials.</t>
  </si>
  <si>
    <t>EPA, US DOT, GSA</t>
  </si>
  <si>
    <t>DEQ, NCDOT, DOA</t>
  </si>
  <si>
    <t xml:space="preserve">     Transportation and Infrastructure</t>
  </si>
  <si>
    <t>Neighborhood Access and Equity Grant Program</t>
  </si>
  <si>
    <t>Based on previous estimates of NC share of discretionary funding received from USDOT</t>
  </si>
  <si>
    <t>Provides up to $3.2 billion in funding to FHWA for a neighborhood access and equity grant program, used to improve walkability, safety, and affordable transportation. Of the total, the provision reserves $1.26 billion for economically disadvantaged communities.</t>
  </si>
  <si>
    <t>USDOT</t>
  </si>
  <si>
    <t xml:space="preserve">NCDOT  </t>
  </si>
  <si>
    <t>Local governments; community organizations</t>
  </si>
  <si>
    <t>Assistance for Federal Buildings</t>
  </si>
  <si>
    <t>Provides funds to Federal Buildings Fund to convert existing facilities into high-performance green buildings.</t>
  </si>
  <si>
    <t>GSA</t>
  </si>
  <si>
    <t>Use of Low-Carbon Materials</t>
  </si>
  <si>
    <t>Provides funding to specify and install low-embodied carbon materials and products for use in General Services Administration-owned buildings.</t>
  </si>
  <si>
    <t>General Services Administration Emerging Technologies</t>
  </si>
  <si>
    <t>Provides $975 million to the Federal Buildings Fund for emerging and sustainable technologies and related sustainability and environmental programs.</t>
  </si>
  <si>
    <t>Environmental Review Implementation Funds</t>
  </si>
  <si>
    <t>Appropriates funds to facilitate the development and review of documents for environmental reviews of surface transportation projects. This provision includes funding for direct assistance by the US Federal Highway Administration to eligible entities (states, local governments, and other local agencies) and to provide grants to eligible entities in order to build capacity to conduct environmental reviews.</t>
  </si>
  <si>
    <t>Local governments</t>
  </si>
  <si>
    <t>Low-Carbon Transportation Materials Grants</t>
  </si>
  <si>
    <t>Reimburses and incentivizes the use of low-carbon materials and products for Federal Highway Administration projects.</t>
  </si>
  <si>
    <t xml:space="preserve">     Other Environment and Public Works</t>
  </si>
  <si>
    <t>Environmental and Climate Justice Block Grants</t>
  </si>
  <si>
    <t>Based on previous estimates of NC share of discretionary funding received for environmental projects (1-4%)</t>
  </si>
  <si>
    <t>Available through  9/30/2026</t>
  </si>
  <si>
    <t>Provides funding for grants for up to 3 years for various climate and pollution mitigation programs that benefit disadvantaged communities to eligible community groups (including partnerships with local governments, tribes, and colleges/universities).</t>
  </si>
  <si>
    <t>DEQ, NCDOT, UNC System, NCCCS</t>
  </si>
  <si>
    <t>Local governments and tribes, community/nonprofit organizations, colleges and universities</t>
  </si>
  <si>
    <t>Endangered Species Act Recovery Plans</t>
  </si>
  <si>
    <t>Available until expended</t>
  </si>
  <si>
    <t>Appropriates funds to US Fish and Wildlife Service for rebuilding and restoring units of National Wildlife Refuge System and State wildlife management areas.</t>
  </si>
  <si>
    <t>USFWS</t>
  </si>
  <si>
    <t>DEQ, DNCR, WRC</t>
  </si>
  <si>
    <t>Funding for the US Fish and Wildlife Service to Address Weather Events</t>
  </si>
  <si>
    <t>Appropriates funds to US Fish and Wildlife Service to rebuild and restore the National Wildlife Refuge System and state wildlife management areas by increasing addressing threats from invasive species and improving the ability of these areas to withstand weather events.</t>
  </si>
  <si>
    <t>DEQ, DNCR</t>
  </si>
  <si>
    <t>Environmental and Climate Data Collection</t>
  </si>
  <si>
    <t>Provides funding for climate data collection (including on burdens and cumulative impacts and publicly accessible mapping) through the President's Council on Environmental Quality.</t>
  </si>
  <si>
    <t>Council on Environmental Quality (EOP)</t>
  </si>
  <si>
    <t>DEQ, Universities</t>
  </si>
  <si>
    <t>Council on Environmental Quality Efficient and Effective Environmental Reviews</t>
  </si>
  <si>
    <t>Appropriates funds to Council on Environmental Quality to carry out training  of personnel, develop programmatic environmental documents and tools, and make improvements to stakeholder and community engagement.</t>
  </si>
  <si>
    <t>DEQ, NCDOT, NCUC</t>
  </si>
  <si>
    <t>Community organizations</t>
  </si>
  <si>
    <t>CEQ</t>
  </si>
  <si>
    <t>HOMELAND SECURITY PROVISIONS</t>
  </si>
  <si>
    <t>DHS Office of Chief Readiness Support Officer</t>
  </si>
  <si>
    <t>Available through  9/30/2028</t>
  </si>
  <si>
    <t>Provides $500 million to the Office of the Chief Readiness Support Officer to carry out sustainability and environmental programs.</t>
  </si>
  <si>
    <t>DHS</t>
  </si>
  <si>
    <t>USPS Clean Fleets</t>
  </si>
  <si>
    <t>Assumes NC share of the infrastructure spending will be 2-4% of total</t>
  </si>
  <si>
    <t>Available through  9/30/2031</t>
  </si>
  <si>
    <t>Provides $1.29 billion for the purchase of zero emission vehicles and $1.71 billion for the purchase, design, and installation of required infrastructure to support zero-emission vehicles owned or leased by USPS.</t>
  </si>
  <si>
    <t>USPS</t>
  </si>
  <si>
    <t>USPS Office of Inspector General</t>
  </si>
  <si>
    <t>Provides funding to the USPS Inspector General to support oversight of the USPS activities implemented pursuant to the IRA.</t>
  </si>
  <si>
    <t>Government Accountability Office Oversight</t>
  </si>
  <si>
    <t>Provides funding to the GAO to support oversight of the distribution and use of funds in the IRA and to determine whether the economic, social, and environmental impacts of those funds are equitable.</t>
  </si>
  <si>
    <t>GAO</t>
  </si>
  <si>
    <t>Office of Management and Budget Oversight</t>
  </si>
  <si>
    <t>Provides funding to OMB to support oversight over the distribution and use IRA funds and to determine whether the economic, social, and environmental impacts of those funds are equitable.</t>
  </si>
  <si>
    <t>OMB</t>
  </si>
  <si>
    <t>FEMA Building Materials Program</t>
  </si>
  <si>
    <t>Based on NC's share of DHS-FEMA fund from 2017-2022 (approx 2.1%)</t>
  </si>
  <si>
    <t>Appropriates funds for FEMA to use for financial assistance for costs associated with low-carbon materials and to provide incentives that encourage low-carbon and net-zero energy projects.</t>
  </si>
  <si>
    <t>DPS</t>
  </si>
  <si>
    <t>Building owners affected by natural disasters</t>
  </si>
  <si>
    <t>BPC</t>
  </si>
  <si>
    <t>Federal Permitting Improvement Steering Council</t>
  </si>
  <si>
    <t>Appropriates funds to the Federal Permitting Improvement Steering Council to improve the transparency, predictability, and outcomes of the federal environmental review and authorization process for large-scale critical infrastructure projects.</t>
  </si>
  <si>
    <t>FPISC</t>
  </si>
  <si>
    <t>NCDOT, NC Ports Authority, DEQ, NC DIT</t>
  </si>
  <si>
    <t>Local governments, gas and electric utilities, broadband providers</t>
  </si>
  <si>
    <t>APTA</t>
  </si>
  <si>
    <t>INDIAN AFFAIRS PROVISIONS</t>
  </si>
  <si>
    <t>Tribal climate resilience, fish hatcheries, administration</t>
  </si>
  <si>
    <t>Based on 3% (+/- 1%) NC share of total U.S. Native American population</t>
  </si>
  <si>
    <t>Provides funding for Tribal climate resilience and adaptation programs and fish hatchery operations. Funds are not subject to cost-sharing/matching.</t>
  </si>
  <si>
    <t>DOI/Bureau of Indian Affairs</t>
  </si>
  <si>
    <t>Commission of Indian Affairs</t>
  </si>
  <si>
    <t xml:space="preserve">North Carolina tribal communities </t>
  </si>
  <si>
    <t>Cmte on Indian Affairs</t>
  </si>
  <si>
    <t>OSBM</t>
  </si>
  <si>
    <t>Native Hawaiian Climate Resilience</t>
  </si>
  <si>
    <t>Provides funds for financial assistance for climate resilience activities that serve the Native Hawaiian Community.</t>
  </si>
  <si>
    <t>DOI/Office of Native Hawaiian Relations</t>
  </si>
  <si>
    <t>Limited to those served by the Office of Native Hawaiian Relations which focuses on the islands of Hawaii.</t>
  </si>
  <si>
    <t>Tribal Electrification Program</t>
  </si>
  <si>
    <t>Appropriates funds for providing electricity to Tribal homes and transitioning electrified homes to zero-emission systems, including associated home repairs and retrofitting. Funds are not subject to cost-sharing/matching.</t>
  </si>
  <si>
    <t>Emergency Drought Relief for Tribes</t>
  </si>
  <si>
    <t xml:space="preserve">Provides funds for near-term drought relief for Indian Tribes impacted by a Bureau of Reclamation water project. </t>
  </si>
  <si>
    <t>Limited to the 17 western states in which Bureau of Reclamation water projects are located.</t>
  </si>
  <si>
    <t>Total NC Amounts (Excluding Loans)</t>
  </si>
  <si>
    <t>Total NC Amounts - Tax Credits</t>
  </si>
  <si>
    <t>Total NC Amounts - Non-Health Tax Credits</t>
  </si>
  <si>
    <t>Total NC Amounts - Spending</t>
  </si>
  <si>
    <t>Total NC Amounts - Tax Revenue</t>
  </si>
  <si>
    <t>Total NC Amounts - Loans</t>
  </si>
  <si>
    <t>Total NC Amounts - Competitive</t>
  </si>
  <si>
    <t>Total US Amounts (Excluding Loans)</t>
  </si>
  <si>
    <t>Total US Amounts - Tax Credits</t>
  </si>
  <si>
    <t>Total US Amounts - Non-Health Tax Credits</t>
  </si>
  <si>
    <t>Total US Amounts - Spending</t>
  </si>
  <si>
    <t>Total US Amounts - Tax Revenue</t>
  </si>
  <si>
    <t>Total US Amounts - Competitive</t>
  </si>
  <si>
    <t>Total Count - Competitive</t>
  </si>
  <si>
    <t>Total US Amounts - Loans</t>
  </si>
  <si>
    <t>Loans for Clean Energy and Manufacturing Facilities</t>
  </si>
  <si>
    <t>Clean Energy &amp; Manufacturing</t>
  </si>
  <si>
    <t>Clean Energy Investment Tax Credits</t>
  </si>
  <si>
    <t>Clean Energy</t>
  </si>
  <si>
    <t>Tax Credits</t>
  </si>
  <si>
    <t>Clean Energy Production Tax Credits</t>
  </si>
  <si>
    <t>Loans/Grants</t>
  </si>
  <si>
    <t>Clean Manufacturing</t>
  </si>
  <si>
    <t>Agricultural Conservation Investments</t>
  </si>
  <si>
    <t>Conservation</t>
  </si>
  <si>
    <t>Grants</t>
  </si>
  <si>
    <t>Est. NC Amount</t>
  </si>
  <si>
    <t>Program Name</t>
  </si>
  <si>
    <t>US Amount</t>
  </si>
  <si>
    <t>Program Type</t>
  </si>
  <si>
    <t>Funding Type</t>
  </si>
  <si>
    <t>Category</t>
  </si>
  <si>
    <t>Links to Tracker</t>
  </si>
  <si>
    <t>Climate</t>
  </si>
  <si>
    <t>Clean Transportation</t>
  </si>
  <si>
    <t>Environmental Justice</t>
  </si>
  <si>
    <t>Environment</t>
  </si>
  <si>
    <t>Agriculture</t>
  </si>
  <si>
    <t>Energy Efficiency</t>
  </si>
  <si>
    <t>Science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</si>
</sst>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quot;$&quot;#,##0"/>
    <numFmt numFmtId="165" formatCode="&quot;$&quot;#,##0.0"/>
    <numFmt numFmtId="166" formatCode="&quot;$&quot;#,##0.00"/>
    <numFmt numFmtId="167" formatCode="0.0%"/>
  </numFmts>
  <fonts count="11">
    <font>
      <sz val="11"/>
      <color theme="1"/>
      <name val="Calibri"/>
      <family val="2"/>
      <scheme val="minor"/>
    </font>
    <font>
      <b/>
      <sz val="11"/>
      <color theme="1"/>
      <name val="Calibri"/>
      <family val="2"/>
      <scheme val="minor"/>
    </font>
    <font>
      <sz val="10"/>
      <color theme="1"/>
      <name val="Calibri"/>
      <family val="2"/>
      <scheme val="minor"/>
    </font>
    <font>
      <b/>
      <sz val="11"/>
      <name val="Calibri"/>
      <family val="2"/>
      <scheme val="minor"/>
    </font>
    <font>
      <sz val="8"/>
      <name val="Calibri"/>
      <family val="2"/>
      <scheme val="minor"/>
    </font>
    <font>
      <u/>
      <sz val="11"/>
      <color theme="10"/>
      <name val="Calibri"/>
      <family val="2"/>
      <scheme val="minor"/>
    </font>
    <font>
      <u/>
      <sz val="10"/>
      <color theme="10"/>
      <name val="Calibri"/>
      <family val="2"/>
      <scheme val="minor"/>
    </font>
    <font>
      <b/>
      <sz val="10"/>
      <color theme="1"/>
      <name val="Calibri"/>
      <family val="2"/>
      <scheme val="minor"/>
    </font>
    <font>
      <sz val="11"/>
      <color theme="1"/>
      <name val="Calibri"/>
      <family val="2"/>
      <scheme val="minor"/>
    </font>
    <font>
      <b/>
      <sz val="12"/>
      <name val="Calibri"/>
      <family val="2"/>
      <scheme val="minor"/>
    </font>
    <font>
      <b/>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3">
    <border>
      <left/>
      <right/>
      <top/>
      <bottom/>
      <diagonal/>
    </border>
    <border>
      <left/>
      <right/>
      <top/>
      <bottom style="thin">
        <color rgb="FF000000"/>
      </bottom>
      <diagonal/>
    </border>
    <border>
      <left/>
      <right/>
      <top/>
      <bottom style="thin">
        <color indexed="64"/>
      </bottom>
      <diagonal/>
    </border>
  </borders>
  <cellStyleXfs count="3">
    <xf numFmtId="0" fontId="0" fillId="0" borderId="0"/>
    <xf numFmtId="0" fontId="5" fillId="0" borderId="0" applyNumberFormat="0" applyFill="0" applyBorder="0" applyAlignment="0" applyProtection="0"/>
    <xf numFmtId="9" fontId="8" fillId="0" borderId="0" applyFont="0" applyFill="0" applyBorder="0" applyAlignment="0" applyProtection="0"/>
  </cellStyleXfs>
  <cellXfs count="59">
    <xf numFmtId="0" fontId="0" fillId="0" borderId="0" xfId="0"/>
    <xf numFmtId="0" fontId="0" fillId="0" borderId="0" xfId="0" applyAlignment="1">
      <alignment wrapText="1"/>
    </xf>
    <xf numFmtId="0" fontId="2" fillId="0" borderId="0" xfId="0" applyFont="1" applyAlignment="1">
      <alignment wrapText="1"/>
    </xf>
    <xf numFmtId="164" fontId="0" fillId="0" borderId="0" xfId="0" applyNumberFormat="1" applyAlignment="1">
      <alignment horizontal="right" wrapText="1"/>
    </xf>
    <xf numFmtId="0" fontId="0" fillId="0" borderId="0" xfId="0" applyAlignment="1">
      <alignment horizontal="right" wrapText="1"/>
    </xf>
    <xf numFmtId="0" fontId="0" fillId="0" borderId="0" xfId="0" applyAlignment="1">
      <alignment horizontal="center"/>
    </xf>
    <xf numFmtId="14" fontId="2" fillId="0" borderId="0" xfId="0" applyNumberFormat="1" applyFont="1" applyAlignment="1">
      <alignment horizontal="center" wrapText="1"/>
    </xf>
    <xf numFmtId="0" fontId="2" fillId="0" borderId="0" xfId="0" applyFont="1" applyAlignment="1">
      <alignment horizontal="center" wrapText="1"/>
    </xf>
    <xf numFmtId="0" fontId="1" fillId="0" borderId="0" xfId="0" applyFont="1"/>
    <xf numFmtId="0" fontId="1" fillId="0" borderId="2" xfId="0" applyFont="1" applyBorder="1"/>
    <xf numFmtId="0" fontId="5" fillId="0" borderId="0" xfId="1"/>
    <xf numFmtId="165" fontId="0" fillId="0" borderId="0" xfId="0" applyNumberFormat="1" applyAlignment="1">
      <alignment horizontal="right" wrapText="1"/>
    </xf>
    <xf numFmtId="0" fontId="2" fillId="0" borderId="0" xfId="0" applyFont="1" applyAlignment="1">
      <alignment vertical="center" wrapText="1"/>
    </xf>
    <xf numFmtId="0" fontId="2" fillId="0" borderId="0" xfId="0" applyFont="1" applyAlignment="1">
      <alignment horizontal="left" vertical="top" wrapText="1"/>
    </xf>
    <xf numFmtId="6" fontId="0" fillId="0" borderId="0" xfId="0" applyNumberFormat="1"/>
    <xf numFmtId="0" fontId="2" fillId="0" borderId="0" xfId="0" applyFont="1"/>
    <xf numFmtId="0" fontId="0" fillId="0" borderId="0" xfId="0" applyAlignment="1">
      <alignment horizontal="right"/>
    </xf>
    <xf numFmtId="164" fontId="2" fillId="0" borderId="0" xfId="0" applyNumberFormat="1" applyFont="1" applyAlignment="1">
      <alignment horizontal="right" wrapText="1"/>
    </xf>
    <xf numFmtId="6" fontId="0" fillId="0" borderId="0" xfId="0" applyNumberFormat="1" applyAlignment="1">
      <alignment horizontal="right"/>
    </xf>
    <xf numFmtId="0" fontId="2" fillId="0" borderId="0" xfId="0" applyFont="1" applyAlignment="1">
      <alignment horizontal="center"/>
    </xf>
    <xf numFmtId="0" fontId="2" fillId="0" borderId="0" xfId="0" applyFont="1" applyAlignment="1">
      <alignment horizontal="left" wrapText="1"/>
    </xf>
    <xf numFmtId="0" fontId="7" fillId="0" borderId="0" xfId="0" applyFont="1" applyAlignment="1">
      <alignment horizontal="left" wrapText="1"/>
    </xf>
    <xf numFmtId="164" fontId="2" fillId="0" borderId="0" xfId="0" applyNumberFormat="1" applyFont="1" applyAlignment="1">
      <alignment horizontal="left" wrapText="1"/>
    </xf>
    <xf numFmtId="164" fontId="6" fillId="0" borderId="0" xfId="1" applyNumberFormat="1" applyFont="1" applyAlignment="1">
      <alignment horizontal="left" wrapText="1"/>
    </xf>
    <xf numFmtId="0" fontId="6" fillId="0" borderId="0" xfId="1" applyFont="1" applyAlignment="1">
      <alignment horizontal="left" wrapText="1"/>
    </xf>
    <xf numFmtId="0" fontId="2" fillId="0" borderId="0" xfId="0" applyFont="1" applyAlignment="1">
      <alignment horizontal="left"/>
    </xf>
    <xf numFmtId="0" fontId="6" fillId="0" borderId="0" xfId="1" applyFont="1" applyAlignment="1">
      <alignment wrapText="1"/>
    </xf>
    <xf numFmtId="0" fontId="6" fillId="0" borderId="0" xfId="1" applyFont="1"/>
    <xf numFmtId="0" fontId="6" fillId="0" borderId="0" xfId="1" applyFont="1" applyFill="1" applyBorder="1" applyAlignment="1">
      <alignment wrapText="1"/>
    </xf>
    <xf numFmtId="0" fontId="6" fillId="0" borderId="0" xfId="1" applyFont="1" applyBorder="1" applyAlignment="1">
      <alignment wrapText="1"/>
    </xf>
    <xf numFmtId="0" fontId="6" fillId="0" borderId="0" xfId="1" applyFont="1" applyAlignment="1">
      <alignment vertical="center" wrapText="1"/>
    </xf>
    <xf numFmtId="0" fontId="3" fillId="0" borderId="0" xfId="0" applyFont="1" applyAlignment="1">
      <alignment horizontal="center"/>
    </xf>
    <xf numFmtId="1" fontId="0" fillId="0" borderId="0" xfId="0" applyNumberFormat="1" applyAlignment="1">
      <alignment horizontal="right" wrapText="1"/>
    </xf>
    <xf numFmtId="164" fontId="0" fillId="0" borderId="0" xfId="0" applyNumberFormat="1" applyAlignment="1">
      <alignment horizontal="right"/>
    </xf>
    <xf numFmtId="164" fontId="0" fillId="0" borderId="0" xfId="0" applyNumberFormat="1" applyAlignment="1">
      <alignment wrapText="1"/>
    </xf>
    <xf numFmtId="164" fontId="0" fillId="0" borderId="0" xfId="0" applyNumberFormat="1"/>
    <xf numFmtId="166" fontId="0" fillId="0" borderId="0" xfId="0" applyNumberFormat="1" applyAlignment="1">
      <alignment horizontal="right" wrapText="1"/>
    </xf>
    <xf numFmtId="167" fontId="0" fillId="0" borderId="0" xfId="2" applyNumberFormat="1" applyFont="1"/>
    <xf numFmtId="0" fontId="0" fillId="4" borderId="0" xfId="0" applyFill="1"/>
    <xf numFmtId="164" fontId="6" fillId="0" borderId="0" xfId="1" applyNumberFormat="1" applyFont="1" applyFill="1" applyAlignment="1">
      <alignment horizontal="left" wrapText="1"/>
    </xf>
    <xf numFmtId="0" fontId="6" fillId="0" borderId="0" xfId="1" applyFont="1" applyFill="1" applyAlignment="1">
      <alignment wrapText="1"/>
    </xf>
    <xf numFmtId="0" fontId="6" fillId="0" borderId="0" xfId="1" applyFont="1" applyFill="1"/>
    <xf numFmtId="164" fontId="0" fillId="0" borderId="0" xfId="0" applyNumberFormat="1" applyAlignment="1">
      <alignment horizontal="center"/>
    </xf>
    <xf numFmtId="0" fontId="10" fillId="0" borderId="0" xfId="0" applyFont="1"/>
    <xf numFmtId="0" fontId="0" fillId="0" borderId="0" xfId="0" applyAlignment="1">
      <alignment horizontal="center" wrapText="1"/>
    </xf>
    <xf numFmtId="0" fontId="0" fillId="0" borderId="0" xfId="0" applyAlignment="1">
      <alignment horizontal="center"/>
    </xf>
    <xf numFmtId="0" fontId="1" fillId="0" borderId="2" xfId="0" applyFont="1" applyBorder="1" applyAlignment="1">
      <alignment horizontal="center" wrapText="1"/>
    </xf>
    <xf numFmtId="0" fontId="10" fillId="0" borderId="0" xfId="0" applyFont="1" applyAlignment="1">
      <alignment horizontal="center"/>
    </xf>
    <xf numFmtId="164" fontId="0" fillId="0" borderId="0" xfId="0" applyNumberFormat="1" applyAlignment="1">
      <alignment horizontal="center" wrapText="1"/>
    </xf>
    <xf numFmtId="0" fontId="1" fillId="2" borderId="0" xfId="0" applyFont="1" applyFill="1" applyAlignment="1">
      <alignment wrapText="1"/>
    </xf>
    <xf numFmtId="0" fontId="0" fillId="0" borderId="0" xfId="0" applyAlignment="1">
      <alignment horizontal="center"/>
    </xf>
    <xf numFmtId="0" fontId="0" fillId="0" borderId="0" xfId="0" applyAlignment="1">
      <alignment horizontal="center" wrapText="1"/>
    </xf>
    <xf numFmtId="165" fontId="0" fillId="0" borderId="0" xfId="0" applyNumberFormat="1" applyAlignment="1">
      <alignment horizontal="center" wrapText="1"/>
    </xf>
    <xf numFmtId="0" fontId="1" fillId="3" borderId="0" xfId="0" applyFont="1" applyFill="1" applyAlignment="1">
      <alignment wrapText="1"/>
    </xf>
    <xf numFmtId="0" fontId="1" fillId="0" borderId="2" xfId="0" applyFont="1" applyBorder="1" applyAlignment="1">
      <alignment horizontal="center" wrapText="1"/>
    </xf>
    <xf numFmtId="0" fontId="1" fillId="0" borderId="1" xfId="0" applyFont="1" applyBorder="1" applyAlignment="1">
      <alignment wrapText="1"/>
    </xf>
    <xf numFmtId="0" fontId="9" fillId="0" borderId="0" xfId="0" applyFont="1" applyAlignment="1">
      <alignment horizontal="center"/>
    </xf>
    <xf numFmtId="0" fontId="1" fillId="0" borderId="0" xfId="0" applyFont="1" applyAlignment="1">
      <alignment horizontal="center" wrapText="1"/>
    </xf>
    <xf numFmtId="0" fontId="10" fillId="0" borderId="0" xfId="0" applyFont="1" applyAlignment="1">
      <alignment horizont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akingump.com/a/web/qAq8TyXj29yerWQVqqjiyT/akin-gumps-comprehensive-section-by-section-of-the-inflation-reduction-act.pdf" TargetMode="External"/><Relationship Id="rId21"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3" Type="http://schemas.openxmlformats.org/officeDocument/2006/relationships/hyperlink" Target="https://www.cbo.gov/system/files/2022-08/hr5376_IR_Act_8-3-22.pdf" TargetMode="External"/><Relationship Id="rId159" Type="http://schemas.openxmlformats.org/officeDocument/2006/relationships/hyperlink" Target="https://www.eia.gov/electricity/data/browser/" TargetMode="External"/><Relationship Id="rId170" Type="http://schemas.openxmlformats.org/officeDocument/2006/relationships/hyperlink" Target="https://www.jct.gov/publications/2022/jcx-18-22/" TargetMode="External"/><Relationship Id="rId191" Type="http://schemas.openxmlformats.org/officeDocument/2006/relationships/hyperlink" Target="https://www.maritime.dot.gov/data-reports/data-statistics/us-waterborne-foreign-container-trade-us-customs-ports-2000-%E2%80%93-2017" TargetMode="External"/><Relationship Id="rId205" Type="http://schemas.openxmlformats.org/officeDocument/2006/relationships/hyperlink" Target="https://www.epw.senate.gov/public/_cache/files/2/6/26af3ca8-07f3-41ed-af31-ef0373ccc1b7/5CCB7EB412908BDFAB25C76463BDC27D.climate-and-equity-investments-in-the-inflation-reduction-act-5-.pdf" TargetMode="External"/><Relationship Id="rId226" Type="http://schemas.openxmlformats.org/officeDocument/2006/relationships/hyperlink" Target="https://www.cbo.gov/system/files/2022-09/PL117-169_9-7-22.pdf" TargetMode="External"/><Relationship Id="rId247" Type="http://schemas.openxmlformats.org/officeDocument/2006/relationships/hyperlink" Target="https://www.akingump.com/a/web/qAq8TyXj29yerWQVqqjiyT/akin-gumps-comprehensive-section-by-section-of-the-inflation-reduction-act.pdf" TargetMode="External"/><Relationship Id="rId107" Type="http://schemas.openxmlformats.org/officeDocument/2006/relationships/hyperlink" Target="https://www.akingump.com/a/web/qAq8TyXj29yerWQVqqjiyT/akin-gumps-comprehensive-section-by-section-of-the-inflation-reduction-act.pdf" TargetMode="External"/><Relationship Id="rId11" Type="http://schemas.openxmlformats.org/officeDocument/2006/relationships/hyperlink" Target="https://crsreports.congress.gov/product/pdf/R/R47202" TargetMode="External"/><Relationship Id="rId32"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53"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74" Type="http://schemas.openxmlformats.org/officeDocument/2006/relationships/hyperlink" Target="https://www.jct.gov/publications/2022/jcx-18-22/" TargetMode="External"/><Relationship Id="rId128" Type="http://schemas.openxmlformats.org/officeDocument/2006/relationships/hyperlink" Target="https://www.kff.org/slideshow/what-are-the-prescription-drug-provisions-in-the-inflation-reduction-act/" TargetMode="External"/><Relationship Id="rId149" Type="http://schemas.openxmlformats.org/officeDocument/2006/relationships/hyperlink" Target="https://www.eia.gov/electricity/data/browser/" TargetMode="External"/><Relationship Id="rId5" Type="http://schemas.openxmlformats.org/officeDocument/2006/relationships/hyperlink" Target="https://crsreports.congress.gov/product/pdf/R/R47202" TargetMode="External"/><Relationship Id="rId95" Type="http://schemas.openxmlformats.org/officeDocument/2006/relationships/hyperlink" Target="https://www.ncforestservice.gov/forest_health/about_our_forests.htm" TargetMode="External"/><Relationship Id="rId160" Type="http://schemas.openxmlformats.org/officeDocument/2006/relationships/hyperlink" Target="https://www.eia.gov/electricity/data/browser/" TargetMode="External"/><Relationship Id="rId181" Type="http://schemas.openxmlformats.org/officeDocument/2006/relationships/hyperlink" Target="https://www.transportation.gov/rural/routes/usdot-discretionary-grant-funding-matrix-0" TargetMode="External"/><Relationship Id="rId216" Type="http://schemas.openxmlformats.org/officeDocument/2006/relationships/hyperlink" Target="https://www.cbo.gov/system/files/2022-09/PL117-169_9-7-22.pdf" TargetMode="External"/><Relationship Id="rId237" Type="http://schemas.openxmlformats.org/officeDocument/2006/relationships/hyperlink" Target="https://www.cbo.gov/system/files/2022-09/PL117-169_9-7-22.pdf" TargetMode="External"/><Relationship Id="rId258" Type="http://schemas.openxmlformats.org/officeDocument/2006/relationships/hyperlink" Target="https://www.cbo.gov/system/files/2022-08/hr5376_IR_Act_8-3-22.pdf" TargetMode="External"/><Relationship Id="rId22" Type="http://schemas.openxmlformats.org/officeDocument/2006/relationships/hyperlink" Target="https://crsreports.congress.gov/product/pdf/IF/IF11982" TargetMode="External"/><Relationship Id="rId43"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4" Type="http://schemas.openxmlformats.org/officeDocument/2006/relationships/hyperlink" Target="https://www.cbo.gov/system/files/2022-08/hr5376_IR_Act_8-3-22.pdf" TargetMode="External"/><Relationship Id="rId118" Type="http://schemas.openxmlformats.org/officeDocument/2006/relationships/hyperlink" Target="https://www.energy.gov/sites/default/files/2022-04/sep-formula-fy22-allocation-distribution.pdf" TargetMode="External"/><Relationship Id="rId139" Type="http://schemas.openxmlformats.org/officeDocument/2006/relationships/hyperlink" Target="https://crsreports.congress.gov/product/pdf/IN/IN11987" TargetMode="External"/><Relationship Id="rId85" Type="http://schemas.openxmlformats.org/officeDocument/2006/relationships/hyperlink" Target="https://www.kff.org/medicare/issue-brief/how-will-the-prescription-drug-provisions-in-the-inflation-reduction-act-affect-medicare-beneficiaries/" TargetMode="External"/><Relationship Id="rId150" Type="http://schemas.openxmlformats.org/officeDocument/2006/relationships/hyperlink" Target="https://www.democrats.senate.gov/imo/media/doc/summary_of_the_energy_security_and_climate_change_investments_in_the_inflation_reduction_act_of_2022.pdf" TargetMode="External"/><Relationship Id="rId171" Type="http://schemas.openxmlformats.org/officeDocument/2006/relationships/hyperlink" Target="https://cleanenergy.org/wp-content/uploads/Transportation-Electrification-in-the-Southeast-2022-Report.pdf" TargetMode="External"/><Relationship Id="rId192" Type="http://schemas.openxmlformats.org/officeDocument/2006/relationships/hyperlink" Target="https://www.epa.gov/climate-hfcs-reduction" TargetMode="External"/><Relationship Id="rId206" Type="http://schemas.openxmlformats.org/officeDocument/2006/relationships/hyperlink" Target="https://www.epw.senate.gov/public/_cache/files/2/6/26af3ca8-07f3-41ed-af31-ef0373ccc1b7/5CCB7EB412908BDFAB25C76463BDC27D.climate-and-equity-investments-in-the-inflation-reduction-act-5-.pdf" TargetMode="External"/><Relationship Id="rId227" Type="http://schemas.openxmlformats.org/officeDocument/2006/relationships/hyperlink" Target="https://www.cbo.gov/system/files/2022-09/PL117-169_9-7-22.pdf" TargetMode="External"/><Relationship Id="rId248" Type="http://schemas.openxmlformats.org/officeDocument/2006/relationships/hyperlink" Target="https://www.akingump.com/a/web/qAq8TyXj29yerWQVqqjiyT/akin-gumps-comprehensive-section-by-section-of-the-inflation-reduction-act.pdf" TargetMode="External"/><Relationship Id="rId12" Type="http://schemas.openxmlformats.org/officeDocument/2006/relationships/hyperlink" Target="https://www.cbo.gov/system/files/2022-08/58390-IRS.pdf" TargetMode="External"/><Relationship Id="rId33"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08" Type="http://schemas.openxmlformats.org/officeDocument/2006/relationships/hyperlink" Target="https://www.akingump.com/a/web/qAq8TyXj29yerWQVqqjiyT/akin-gumps-comprehensive-section-by-section-of-the-inflation-reduction-act.pdf" TargetMode="External"/><Relationship Id="rId129" Type="http://schemas.openxmlformats.org/officeDocument/2006/relationships/hyperlink" Target="https://www.cbo.gov/system/files/2022-08/hr5376_IR_Act_8-3-22.pdf" TargetMode="External"/><Relationship Id="rId54" Type="http://schemas.openxmlformats.org/officeDocument/2006/relationships/hyperlink" Target="https://www.cbo.gov/system/files/2022-09/PL117-169_9-7-22.pdf" TargetMode="External"/><Relationship Id="rId75" Type="http://schemas.openxmlformats.org/officeDocument/2006/relationships/hyperlink" Target="https://www.jct.gov/publications/2022/jcx-18-22/" TargetMode="External"/><Relationship Id="rId96" Type="http://schemas.openxmlformats.org/officeDocument/2006/relationships/hyperlink" Target="https://crsreports.congress.gov/product/pdf/IF/IF12001" TargetMode="External"/><Relationship Id="rId140" Type="http://schemas.openxmlformats.org/officeDocument/2006/relationships/hyperlink" Target="https://crsreports.congress.gov/product/pdf/IN/IN11987" TargetMode="External"/><Relationship Id="rId161" Type="http://schemas.openxmlformats.org/officeDocument/2006/relationships/hyperlink" Target="https://nccleantech.ncsu.edu/2022/07/27/achieving-resilience-benefits-through-utility-solar-storage-deployment-community-solar-access-in-low-income-communities/" TargetMode="External"/><Relationship Id="rId182" Type="http://schemas.openxmlformats.org/officeDocument/2006/relationships/hyperlink" Target="https://www.transportation.gov/rural/routes/usdot-discretionary-grant-funding-matrix-0" TargetMode="External"/><Relationship Id="rId217" Type="http://schemas.openxmlformats.org/officeDocument/2006/relationships/hyperlink" Target="https://www.cbo.gov/system/files/2022-09/PL117-169_9-7-22.pdf" TargetMode="External"/><Relationship Id="rId6" Type="http://schemas.openxmlformats.org/officeDocument/2006/relationships/hyperlink" Target="https://www.jct.gov/publications/2022/jcx-18-22/" TargetMode="External"/><Relationship Id="rId238" Type="http://schemas.openxmlformats.org/officeDocument/2006/relationships/hyperlink" Target="https://www.cbo.gov/system/files/2022-09/PL117-169_9-7-22.pdf" TargetMode="External"/><Relationship Id="rId259" Type="http://schemas.openxmlformats.org/officeDocument/2006/relationships/hyperlink" Target="https://www.epa.gov/environmentaljustice" TargetMode="External"/><Relationship Id="rId23" Type="http://schemas.openxmlformats.org/officeDocument/2006/relationships/hyperlink" Target="https://crsreports.congress.gov/product/pdf/R/R47202" TargetMode="External"/><Relationship Id="rId119" Type="http://schemas.openxmlformats.org/officeDocument/2006/relationships/hyperlink" Target="https://www.energy.gov/sites/default/files/2022-04/sep-formula-fy22-allocation-distribution.pdf" TargetMode="External"/><Relationship Id="rId44"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5" Type="http://schemas.openxmlformats.org/officeDocument/2006/relationships/hyperlink" Target="https://www.cbo.gov/system/files/2022-08/hr5376_IR_Act_8-3-22.pdf" TargetMode="External"/><Relationship Id="rId86" Type="http://schemas.openxmlformats.org/officeDocument/2006/relationships/hyperlink" Target="https://www.kff.org/health-reform/state-indicator/marketplace-enrollment/?currentTimeframe=0&amp;sortModel=%7B%22colId%22:%22Location%22,%22sort%22:%22asc%22%7D" TargetMode="External"/><Relationship Id="rId130" Type="http://schemas.openxmlformats.org/officeDocument/2006/relationships/hyperlink" Target="https://www.cbo.gov/system/files/2022-08/hr5376_IR_Act_8-3-22.pdf" TargetMode="External"/><Relationship Id="rId151" Type="http://schemas.openxmlformats.org/officeDocument/2006/relationships/hyperlink" Target="https://www.eia.gov/electricity/data/browser/" TargetMode="External"/><Relationship Id="rId172" Type="http://schemas.openxmlformats.org/officeDocument/2006/relationships/hyperlink" Target="https://cleanenergy.org/wp-content/uploads/Transportation-Electrification-in-the-Southeast-2022-Report.pdf" TargetMode="External"/><Relationship Id="rId193" Type="http://schemas.openxmlformats.org/officeDocument/2006/relationships/hyperlink" Target="https://www.epa.gov/enviro/pcs-icis-overview" TargetMode="External"/><Relationship Id="rId207" Type="http://schemas.openxmlformats.org/officeDocument/2006/relationships/hyperlink" Target="https://www.epw.senate.gov/public/_cache/files/2/6/26af3ca8-07f3-41ed-af31-ef0373ccc1b7/5CCB7EB412908BDFAB25C76463BDC27D.climate-and-equity-investments-in-the-inflation-reduction-act-5-.pdf" TargetMode="External"/><Relationship Id="rId228" Type="http://schemas.openxmlformats.org/officeDocument/2006/relationships/hyperlink" Target="https://www.cbo.gov/system/files/2022-09/PL117-169_9-7-22.pdf" TargetMode="External"/><Relationship Id="rId249" Type="http://schemas.openxmlformats.org/officeDocument/2006/relationships/hyperlink" Target="https://www.akingump.com/a/web/qAq8TyXj29yerWQVqqjiyT/akin-gumps-comprehensive-section-by-section-of-the-inflation-reduction-act.pdf" TargetMode="External"/><Relationship Id="rId13" Type="http://schemas.openxmlformats.org/officeDocument/2006/relationships/hyperlink" Target="https://deq.nc.gov/about/divisions/energy-mineral-land-resources/north-carolina-geological-survey/mineral-resources/mineral-resources-faq" TargetMode="External"/><Relationship Id="rId109" Type="http://schemas.openxmlformats.org/officeDocument/2006/relationships/hyperlink" Target="https://www.akingump.com/a/web/qAq8TyXj29yerWQVqqjiyT/akin-gumps-comprehensive-section-by-section-of-the-inflation-reduction-act.pdf" TargetMode="External"/><Relationship Id="rId260" Type="http://schemas.openxmlformats.org/officeDocument/2006/relationships/hyperlink" Target="https://www.whitehouse.gov/ceq/" TargetMode="External"/><Relationship Id="rId34"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55" Type="http://schemas.openxmlformats.org/officeDocument/2006/relationships/hyperlink" Target="https://crsreports.congress.gov/product/pdf/IN/IN11978" TargetMode="External"/><Relationship Id="rId76" Type="http://schemas.openxmlformats.org/officeDocument/2006/relationships/hyperlink" Target="https://www.jct.gov/publications/2022/jcx-18-22/" TargetMode="External"/><Relationship Id="rId97" Type="http://schemas.openxmlformats.org/officeDocument/2006/relationships/hyperlink" Target="https://recovery.fema.gov/state-profiles" TargetMode="External"/><Relationship Id="rId120" Type="http://schemas.openxmlformats.org/officeDocument/2006/relationships/hyperlink" Target="https://www.cbo.gov/system/files/2022-08/hr5376_IR_Act_8-3-22.pdf" TargetMode="External"/><Relationship Id="rId141" Type="http://schemas.openxmlformats.org/officeDocument/2006/relationships/hyperlink" Target="https://www.akingump.com/a/web/qAq8TyXj29yerWQVqqjiyT/akin-gumps-comprehensive-section-by-section-of-the-inflation-reduction-act.pdf" TargetMode="External"/><Relationship Id="rId7" Type="http://schemas.openxmlformats.org/officeDocument/2006/relationships/hyperlink" Target="https://crsreports.congress.gov/product/pdf/R/R47202" TargetMode="External"/><Relationship Id="rId162"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83" Type="http://schemas.openxmlformats.org/officeDocument/2006/relationships/hyperlink" Target="https://www.epa.gov/environmentaljustice/environmental-justice-grants-funding-and-technical-assistance" TargetMode="External"/><Relationship Id="rId218" Type="http://schemas.openxmlformats.org/officeDocument/2006/relationships/hyperlink" Target="https://www.cbo.gov/system/files/2022-09/PL117-169_9-7-22.pdf" TargetMode="External"/><Relationship Id="rId239" Type="http://schemas.openxmlformats.org/officeDocument/2006/relationships/hyperlink" Target="https://www.cbo.gov/system/files/2022-09/PL117-169_9-7-22.pdf" TargetMode="External"/><Relationship Id="rId250" Type="http://schemas.openxmlformats.org/officeDocument/2006/relationships/hyperlink" Target="https://www.akingump.com/a/web/qAq8TyXj29yerWQVqqjiyT/akin-gumps-comprehensive-section-by-section-of-the-inflation-reduction-act.pdf" TargetMode="External"/><Relationship Id="rId24" Type="http://schemas.openxmlformats.org/officeDocument/2006/relationships/hyperlink" Target="https://www.cbo.gov/system/files/2022-08/hr5376_IR_Act_8-3-22.pdf" TargetMode="External"/><Relationship Id="rId45"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6" Type="http://schemas.openxmlformats.org/officeDocument/2006/relationships/hyperlink" Target="https://www.cbo.gov/system/files/2022-08/hr5376_IR_Act_8-3-22.pdf" TargetMode="External"/><Relationship Id="rId87" Type="http://schemas.openxmlformats.org/officeDocument/2006/relationships/hyperlink" Target="https://www.nass.usda.gov/Publications/Todays_Reports/reports/fnlo0220.pdf" TargetMode="External"/><Relationship Id="rId110" Type="http://schemas.openxmlformats.org/officeDocument/2006/relationships/hyperlink" Target="https://www.akingump.com/a/web/qAq8TyXj29yerWQVqqjiyT/akin-gumps-comprehensive-section-by-section-of-the-inflation-reduction-act.pdf" TargetMode="External"/><Relationship Id="rId131" Type="http://schemas.openxmlformats.org/officeDocument/2006/relationships/hyperlink" Target="https://www.cbo.gov/system/files/2022-08/hr5376_IR_Act_8-3-22.pdf" TargetMode="External"/><Relationship Id="rId152" Type="http://schemas.openxmlformats.org/officeDocument/2006/relationships/hyperlink" Target="https://www.eia.gov/electricity/data/browser/" TargetMode="External"/><Relationship Id="rId173" Type="http://schemas.openxmlformats.org/officeDocument/2006/relationships/hyperlink" Target="https://cleanenergy.org/wp-content/uploads/Transportation-Electrification-in-the-Southeast-2022-Report.pdf" TargetMode="External"/><Relationship Id="rId194" Type="http://schemas.openxmlformats.org/officeDocument/2006/relationships/hyperlink" Target="https://www.epw.senate.gov/public/_cache/files/2/6/26af3ca8-07f3-41ed-af31-ef0373ccc1b7/5CCB7EB412908BDFAB25C76463BDC27D.climate-and-equity-investments-in-the-inflation-reduction-act-5-.pdf" TargetMode="External"/><Relationship Id="rId208" Type="http://schemas.openxmlformats.org/officeDocument/2006/relationships/hyperlink" Target="https://d4.nccommerce.com/QCEWSelection.aspx" TargetMode="External"/><Relationship Id="rId229" Type="http://schemas.openxmlformats.org/officeDocument/2006/relationships/hyperlink" Target="https://www.cbo.gov/system/files/2022-09/PL117-169_9-7-22.pdf" TargetMode="External"/><Relationship Id="rId240" Type="http://schemas.openxmlformats.org/officeDocument/2006/relationships/hyperlink" Target="https://www.cbo.gov/system/files/2022-09/PL117-169_9-7-22.pdf" TargetMode="External"/><Relationship Id="rId261" Type="http://schemas.openxmlformats.org/officeDocument/2006/relationships/hyperlink" Target="https://www.congress.gov/bill/117th-congress/house-bill/5376/text" TargetMode="External"/><Relationship Id="rId14" Type="http://schemas.openxmlformats.org/officeDocument/2006/relationships/hyperlink" Target="https://ffis.org/PUBS/budget-brief/22/11" TargetMode="External"/><Relationship Id="rId35" Type="http://schemas.openxmlformats.org/officeDocument/2006/relationships/hyperlink" Target="https://www.jct.gov/publications/2022/jcx-18-22/" TargetMode="External"/><Relationship Id="rId56" Type="http://schemas.openxmlformats.org/officeDocument/2006/relationships/hyperlink" Target="https://crsreports.congress.gov/product/pdf/IN/IN11978" TargetMode="External"/><Relationship Id="rId77" Type="http://schemas.openxmlformats.org/officeDocument/2006/relationships/hyperlink" Target="https://www.congress.gov/bill/117th-congress/house-bill/5376/text" TargetMode="External"/><Relationship Id="rId100" Type="http://schemas.openxmlformats.org/officeDocument/2006/relationships/hyperlink" Target="https://www.osbm.nc.gov/blog/2021/11/10/native-american-population-sees-notable-increase-2020-census" TargetMode="External"/><Relationship Id="rId8" Type="http://schemas.openxmlformats.org/officeDocument/2006/relationships/hyperlink" Target="https://www.jct.gov/publications/2022/jcx-18-22/" TargetMode="External"/><Relationship Id="rId98" Type="http://schemas.openxmlformats.org/officeDocument/2006/relationships/hyperlink" Target="https://www.census.gov/programs-surveys/decennial-census/decade.2020.html" TargetMode="External"/><Relationship Id="rId121" Type="http://schemas.openxmlformats.org/officeDocument/2006/relationships/hyperlink" Target="https://www.akingump.com/a/web/qAq8TyXj29yerWQVqqjiyT/akin-gumps-comprehensive-section-by-section-of-the-inflation-reduction-act.pdf" TargetMode="External"/><Relationship Id="rId142" Type="http://schemas.openxmlformats.org/officeDocument/2006/relationships/hyperlink" Target="https://www.akingump.com/a/web/qAq8TyXj29yerWQVqqjiyT/akin-gumps-comprehensive-section-by-section-of-the-inflation-reduction-act.pdf" TargetMode="External"/><Relationship Id="rId163" Type="http://schemas.openxmlformats.org/officeDocument/2006/relationships/hyperlink" Target="https://www.jct.gov/publications/2022/jcx-18-22/" TargetMode="External"/><Relationship Id="rId184" Type="http://schemas.openxmlformats.org/officeDocument/2006/relationships/hyperlink" Target="http://https/www.transportation.gov/rural/routes/usdot-discretionary-grant-funding-matrix-0" TargetMode="External"/><Relationship Id="rId219" Type="http://schemas.openxmlformats.org/officeDocument/2006/relationships/hyperlink" Target="https://www.cbo.gov/system/files/2022-09/PL117-169_9-7-22.pdf" TargetMode="External"/><Relationship Id="rId230" Type="http://schemas.openxmlformats.org/officeDocument/2006/relationships/hyperlink" Target="https://www.jct.gov/publications/2022/jcx-18-22/" TargetMode="External"/><Relationship Id="rId251" Type="http://schemas.openxmlformats.org/officeDocument/2006/relationships/hyperlink" Target="http://https/www.pogo.org/analysis/2022/09/the-inflation-reduction-act-topline-oil-and-gas-reforms" TargetMode="External"/><Relationship Id="rId25" Type="http://schemas.openxmlformats.org/officeDocument/2006/relationships/hyperlink" Target="https://www.cbo.gov/system/files/2022-08/hr5376_IR_Act_8-3-22.pdf" TargetMode="External"/><Relationship Id="rId46"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7" Type="http://schemas.openxmlformats.org/officeDocument/2006/relationships/hyperlink" Target="https://www.cbo.gov/system/files/2022-08/hr5376_IR_Act_8-3-22.pdf" TargetMode="External"/><Relationship Id="rId88"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11" Type="http://schemas.openxmlformats.org/officeDocument/2006/relationships/hyperlink" Target="https://www.akingump.com/a/web/qAq8TyXj29yerWQVqqjiyT/akin-gumps-comprehensive-section-by-section-of-the-inflation-reduction-act.pdf" TargetMode="External"/><Relationship Id="rId132" Type="http://schemas.openxmlformats.org/officeDocument/2006/relationships/hyperlink" Target="https://www.cbo.gov/system/files/2022-08/hr5376_IR_Act_8-3-22.pdf" TargetMode="External"/><Relationship Id="rId153" Type="http://schemas.openxmlformats.org/officeDocument/2006/relationships/hyperlink" Target="https://www.eia.gov/electricity/data/browser/" TargetMode="External"/><Relationship Id="rId174" Type="http://schemas.openxmlformats.org/officeDocument/2006/relationships/hyperlink" Target="https://cleanenergy.org/wp-content/uploads/Transportation-Electrification-in-the-Southeast-2022-Report.pdf" TargetMode="External"/><Relationship Id="rId195" Type="http://schemas.openxmlformats.org/officeDocument/2006/relationships/hyperlink" Target="https://www3.epa.gov/airquality/greenbook/anayo_nc.html" TargetMode="External"/><Relationship Id="rId209" Type="http://schemas.openxmlformats.org/officeDocument/2006/relationships/hyperlink" Target="https://nccleantech.ncsu.edu/2022/03/30/renewable-natural-gas-a-primer-on-north-carolinas-biogas-resources/" TargetMode="External"/><Relationship Id="rId220" Type="http://schemas.openxmlformats.org/officeDocument/2006/relationships/hyperlink" Target="https://www.cbo.gov/system/files/2022-09/PL117-169_9-7-22.pdf" TargetMode="External"/><Relationship Id="rId241" Type="http://schemas.openxmlformats.org/officeDocument/2006/relationships/hyperlink" Target="https://www.cbo.gov/system/files/2022-09/PL117-169_9-7-22.pdf" TargetMode="External"/><Relationship Id="rId15" Type="http://schemas.openxmlformats.org/officeDocument/2006/relationships/hyperlink" Target="https://deq.nc.gov/about/divisions/energy-mineral-and-land-resources/north-carolina-geological-survey/geologic-hazards/ground-collapse-old-mines-and-prospects-and-sinkholes" TargetMode="External"/><Relationship Id="rId36" Type="http://schemas.openxmlformats.org/officeDocument/2006/relationships/hyperlink" Target="https://www.jct.gov/publications/2022/jcx-18-22/" TargetMode="External"/><Relationship Id="rId57" Type="http://schemas.openxmlformats.org/officeDocument/2006/relationships/hyperlink" Target="https://www.cbo.gov/system/files/2022-09/PL117-169_9-7-22.pdf" TargetMode="External"/><Relationship Id="rId262" Type="http://schemas.openxmlformats.org/officeDocument/2006/relationships/hyperlink" Target="https://crsreports.congress.gov/product/pdf/IN/IN11978" TargetMode="External"/><Relationship Id="rId78" Type="http://schemas.openxmlformats.org/officeDocument/2006/relationships/hyperlink" Target="https://bipartisanpolicy.org/blog/inflation-reduction-act-summary-energy-climate-provisions/" TargetMode="External"/><Relationship Id="rId99" Type="http://schemas.openxmlformats.org/officeDocument/2006/relationships/hyperlink" Target="https://www.osbm.nc.gov/blog/2021/11/10/native-american-population-sees-notable-increase-2020-census" TargetMode="External"/><Relationship Id="rId101" Type="http://schemas.openxmlformats.org/officeDocument/2006/relationships/hyperlink" Target="https://crsreports.congress.gov/product/pdf/IF/IF12152" TargetMode="External"/><Relationship Id="rId122" Type="http://schemas.openxmlformats.org/officeDocument/2006/relationships/hyperlink" Target="https://www.wctsservices.usda.gov/energy/maps/investment" TargetMode="External"/><Relationship Id="rId143" Type="http://schemas.openxmlformats.org/officeDocument/2006/relationships/hyperlink" Target="https://www.akingump.com/a/web/qAq8TyXj29yerWQVqqjiyT/akin-gumps-comprehensive-section-by-section-of-the-inflation-reduction-act.pdf" TargetMode="External"/><Relationship Id="rId164" Type="http://schemas.openxmlformats.org/officeDocument/2006/relationships/hyperlink" Target="https://www.eia.gov/environment/emissions/state/" TargetMode="External"/><Relationship Id="rId185" Type="http://schemas.openxmlformats.org/officeDocument/2006/relationships/hyperlink" Target="https://www.epa.gov/environmentaljustice" TargetMode="External"/><Relationship Id="rId9" Type="http://schemas.openxmlformats.org/officeDocument/2006/relationships/hyperlink" Target="https://crsreports.congress.gov/product/pdf/R/R47202" TargetMode="External"/><Relationship Id="rId210" Type="http://schemas.openxmlformats.org/officeDocument/2006/relationships/hyperlink" Target="https://www.nass.usda.gov/Publications/Todays_Reports/reports/fnlo0220.pdf" TargetMode="External"/><Relationship Id="rId26" Type="http://schemas.openxmlformats.org/officeDocument/2006/relationships/hyperlink" Target="https://www.cbo.gov/system/files/2022-08/hr5376_IR_Act_8-3-22.pdf" TargetMode="External"/><Relationship Id="rId231" Type="http://schemas.openxmlformats.org/officeDocument/2006/relationships/hyperlink" Target="https://crsreports.congress.gov/product/pdf/R/R47202" TargetMode="External"/><Relationship Id="rId252" Type="http://schemas.openxmlformats.org/officeDocument/2006/relationships/hyperlink" Target="https://www.cbo.gov/system/files/2022-09/PL117-169_9-7-22.pdf" TargetMode="External"/><Relationship Id="rId47"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8" Type="http://schemas.openxmlformats.org/officeDocument/2006/relationships/hyperlink" Target="https://www.cbo.gov/system/files/2022-09/PL117-169_9-7-22.pdf" TargetMode="External"/><Relationship Id="rId89" Type="http://schemas.openxmlformats.org/officeDocument/2006/relationships/hyperlink" Target="https://www.cbo.gov/system/files/2022-08/hr5376_IR_Act_8-3-22.pdf" TargetMode="External"/><Relationship Id="rId112" Type="http://schemas.openxmlformats.org/officeDocument/2006/relationships/hyperlink" Target="https://www.akingump.com/a/web/qAq8TyXj29yerWQVqqjiyT/akin-gumps-comprehensive-section-by-section-of-the-inflation-reduction-act.pdf" TargetMode="External"/><Relationship Id="rId133" Type="http://schemas.openxmlformats.org/officeDocument/2006/relationships/hyperlink" Target="https://www.cbo.gov/system/files/2022-08/hr5376_IR_Act_8-3-22.pdf" TargetMode="External"/><Relationship Id="rId154" Type="http://schemas.openxmlformats.org/officeDocument/2006/relationships/hyperlink" Target="https://www.eia.gov/electricity/data/browser/" TargetMode="External"/><Relationship Id="rId175" Type="http://schemas.openxmlformats.org/officeDocument/2006/relationships/hyperlink" Target="https://www.gao.gov/products/gao-15-812" TargetMode="External"/><Relationship Id="rId196" Type="http://schemas.openxmlformats.org/officeDocument/2006/relationships/hyperlink" Target="https://www.epw.senate.gov/public/_cache/files/2/6/26af3ca8-07f3-41ed-af31-ef0373ccc1b7/5CCB7EB412908BDFAB25C76463BDC27D.climate-and-equity-investments-in-the-inflation-reduction-act-5-.pdf" TargetMode="External"/><Relationship Id="rId200" Type="http://schemas.openxmlformats.org/officeDocument/2006/relationships/hyperlink" Target="https://www.epw.senate.gov/public/_cache/files/2/6/26af3ca8-07f3-41ed-af31-ef0373ccc1b7/5CCB7EB412908BDFAB25C76463BDC27D.climate-and-equity-investments-in-the-inflation-reduction-act-5-.pdf" TargetMode="External"/><Relationship Id="rId16" Type="http://schemas.openxmlformats.org/officeDocument/2006/relationships/hyperlink" Target="https://www.indian.senate.gov/sites/default/files/2022-08-16%20%28Final%29%20SCIA%20IRA%20Resource%20Guide.pdf" TargetMode="External"/><Relationship Id="rId221" Type="http://schemas.openxmlformats.org/officeDocument/2006/relationships/hyperlink" Target="https://www.cbo.gov/system/files/2022-09/PL117-169_9-7-22.pdf" TargetMode="External"/><Relationship Id="rId242" Type="http://schemas.openxmlformats.org/officeDocument/2006/relationships/hyperlink" Target="https://www.akingump.com/a/web/qAq8TyXj29yerWQVqqjiyT/akin-gumps-comprehensive-section-by-section-of-the-inflation-reduction-act.pdf" TargetMode="External"/><Relationship Id="rId263" Type="http://schemas.openxmlformats.org/officeDocument/2006/relationships/hyperlink" Target="https://www.drugchannels.net/2022/09/the-inflation-reduction-act-three.html" TargetMode="External"/><Relationship Id="rId37" Type="http://schemas.openxmlformats.org/officeDocument/2006/relationships/hyperlink" Target="https://www.jct.gov/publications/2022/jcx-18-22/" TargetMode="External"/><Relationship Id="rId58" Type="http://schemas.openxmlformats.org/officeDocument/2006/relationships/hyperlink" Target="https://crsreports.congress.gov/product/pdf/IN/IN11978" TargetMode="External"/><Relationship Id="rId79" Type="http://schemas.openxmlformats.org/officeDocument/2006/relationships/hyperlink" Target="https://www.apta.com/advocacy-legislation-policy/legislative-updates-alerts/updates/inflation-reduction-act-public-transit-tax-credits-and-new-investments/" TargetMode="External"/><Relationship Id="rId102" Type="http://schemas.openxmlformats.org/officeDocument/2006/relationships/hyperlink" Target="https://blogs.law.columbia.edu/climatechange/2022/08/22/cities-the-inflation-reduction-act/" TargetMode="External"/><Relationship Id="rId123" Type="http://schemas.openxmlformats.org/officeDocument/2006/relationships/hyperlink" Target="https://www.kff.org/medicare/state-indicator/medicare-spending-by-residence/?currentTimeframe=0&amp;sortModel=%7B%22colId%22:%22Location%22,%22sort%22:%22asc%22%7D" TargetMode="External"/><Relationship Id="rId144" Type="http://schemas.openxmlformats.org/officeDocument/2006/relationships/hyperlink" Target="https://www.akingump.com/a/web/qAq8TyXj29yerWQVqqjiyT/akin-gumps-comprehensive-section-by-section-of-the-inflation-reduction-act.pdf" TargetMode="External"/><Relationship Id="rId90" Type="http://schemas.openxmlformats.org/officeDocument/2006/relationships/hyperlink" Target="https://www.cbo.gov/system/files/2022-08/hr5376_IR_Act_8-3-22.pdf" TargetMode="External"/><Relationship Id="rId165" Type="http://schemas.openxmlformats.org/officeDocument/2006/relationships/hyperlink" Target="https://www.eia.gov/electricity/data/browser/" TargetMode="External"/><Relationship Id="rId186" Type="http://schemas.openxmlformats.org/officeDocument/2006/relationships/hyperlink" Target="https://www.fws.gov/initiative/climate-change" TargetMode="External"/><Relationship Id="rId211" Type="http://schemas.openxmlformats.org/officeDocument/2006/relationships/hyperlink" Target="https://www.fsa.usda.gov/programs-and-services/farm-loan-programs/program-data/index" TargetMode="External"/><Relationship Id="rId232" Type="http://schemas.openxmlformats.org/officeDocument/2006/relationships/hyperlink" Target="https://www.permits.performance.gov/fpisc-content/federal-permitting-improvement-steering-council" TargetMode="External"/><Relationship Id="rId253" Type="http://schemas.openxmlformats.org/officeDocument/2006/relationships/hyperlink" Target="https://www.epa.gov/environmentaljustice" TargetMode="External"/><Relationship Id="rId27" Type="http://schemas.openxmlformats.org/officeDocument/2006/relationships/hyperlink" Target="https://www.cbo.gov/system/files/2022-08/hr5376_IR_Act_8-3-22.pdf" TargetMode="External"/><Relationship Id="rId48"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69" Type="http://schemas.openxmlformats.org/officeDocument/2006/relationships/hyperlink" Target="https://www.noaa.gov/news-release/statement-from-noaa-administrator-on-signing-of-historic-inflation-reduction-act" TargetMode="External"/><Relationship Id="rId113" Type="http://schemas.openxmlformats.org/officeDocument/2006/relationships/hyperlink" Target="https://www.akingump.com/a/web/qAq8TyXj29yerWQVqqjiyT/akin-gumps-comprehensive-section-by-section-of-the-inflation-reduction-act.pdf" TargetMode="External"/><Relationship Id="rId134" Type="http://schemas.openxmlformats.org/officeDocument/2006/relationships/hyperlink" Target="https://www.cbo.gov/system/files/2022-08/hr5376_IR_Act_8-3-22.pdf" TargetMode="External"/><Relationship Id="rId80"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55" Type="http://schemas.openxmlformats.org/officeDocument/2006/relationships/hyperlink" Target="https://www.eia.gov/electricity/data/browser/" TargetMode="External"/><Relationship Id="rId176" Type="http://schemas.openxmlformats.org/officeDocument/2006/relationships/hyperlink" Target="https://www.nccommerce.com/business/key-industries-north-carolina/automotive-heavy-equipment" TargetMode="External"/><Relationship Id="rId197" Type="http://schemas.openxmlformats.org/officeDocument/2006/relationships/hyperlink" Target="https://www.epw.senate.gov/public/_cache/files/2/6/26af3ca8-07f3-41ed-af31-ef0373ccc1b7/5CCB7EB412908BDFAB25C76463BDC27D.climate-and-equity-investments-in-the-inflation-reduction-act-5-.pdf" TargetMode="External"/><Relationship Id="rId201" Type="http://schemas.openxmlformats.org/officeDocument/2006/relationships/hyperlink" Target="https://www.epw.senate.gov/public/_cache/files/2/6/26af3ca8-07f3-41ed-af31-ef0373ccc1b7/5CCB7EB412908BDFAB25C76463BDC27D.climate-and-equity-investments-in-the-inflation-reduction-act-5-.pdf" TargetMode="External"/><Relationship Id="rId222" Type="http://schemas.openxmlformats.org/officeDocument/2006/relationships/hyperlink" Target="https://www.cbo.gov/system/files/2022-09/PL117-169_9-7-22.pdf" TargetMode="External"/><Relationship Id="rId243" Type="http://schemas.openxmlformats.org/officeDocument/2006/relationships/hyperlink" Target="https://www.akingump.com/a/web/qAq8TyXj29yerWQVqqjiyT/akin-gumps-comprehensive-section-by-section-of-the-inflation-reduction-act.pdf" TargetMode="External"/><Relationship Id="rId264" Type="http://schemas.openxmlformats.org/officeDocument/2006/relationships/printerSettings" Target="../printerSettings/printerSettings1.bin"/><Relationship Id="rId17" Type="http://schemas.openxmlformats.org/officeDocument/2006/relationships/hyperlink" Target="https://www.indian.senate.gov/sites/default/files/2022-08-16%20%28Final%29%20SCIA%20IRA%20Resource%20Guide.pdf" TargetMode="External"/><Relationship Id="rId38" Type="http://schemas.openxmlformats.org/officeDocument/2006/relationships/hyperlink" Target="https://www.jct.gov/publications/2022/jcx-18-22/" TargetMode="External"/><Relationship Id="rId59" Type="http://schemas.openxmlformats.org/officeDocument/2006/relationships/hyperlink" Target="https://crsreports.congress.gov/product/pdf/IN/IN11978" TargetMode="External"/><Relationship Id="rId103" Type="http://schemas.openxmlformats.org/officeDocument/2006/relationships/hyperlink" Target="https://www.akingump.com/a/web/qAq8TyXj29yerWQVqqjiyT/akin-gumps-comprehensive-section-by-section-of-the-inflation-reduction-act.pdf" TargetMode="External"/><Relationship Id="rId124" Type="http://schemas.openxmlformats.org/officeDocument/2006/relationships/hyperlink" Target="https://www.kff.org/medicare/state-indicator/medicare-spending-by-residence/?currentTimeframe=0&amp;sortModel=%7B%22colId%22:%22Location%22,%22sort%22:%22asc%22%7D" TargetMode="External"/><Relationship Id="rId70" Type="http://schemas.openxmlformats.org/officeDocument/2006/relationships/hyperlink" Target="https://www.bizjournals.com/triad/news/2021/03/03/koury-aviation-offers-sustainable-jet-fuel.html" TargetMode="External"/><Relationship Id="rId91" Type="http://schemas.openxmlformats.org/officeDocument/2006/relationships/hyperlink" Target="https://www.cbo.gov/system/files/2022-08/hr5376_IR_Act_8-3-22.pdf" TargetMode="External"/><Relationship Id="rId145" Type="http://schemas.openxmlformats.org/officeDocument/2006/relationships/hyperlink" Target="http://https/www.pogo.org/analysis/2022/09/the-inflation-reduction-act-topline-oil-and-gas-reforms" TargetMode="External"/><Relationship Id="rId166"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87" Type="http://schemas.openxmlformats.org/officeDocument/2006/relationships/hyperlink" Target="https://www.fws.gov/initiative/climate-change" TargetMode="External"/><Relationship Id="rId1" Type="http://schemas.openxmlformats.org/officeDocument/2006/relationships/hyperlink" Target="https://www.jct.gov/publications/2022/jcx-18-22/" TargetMode="External"/><Relationship Id="rId212" Type="http://schemas.openxmlformats.org/officeDocument/2006/relationships/hyperlink" Target="https://www.fsa.usda.gov/programs-and-services/farm-loan-programs/program-data/index" TargetMode="External"/><Relationship Id="rId233" Type="http://schemas.openxmlformats.org/officeDocument/2006/relationships/hyperlink" Target="https://nclcv.org/cib08222022-wind/" TargetMode="External"/><Relationship Id="rId254" Type="http://schemas.openxmlformats.org/officeDocument/2006/relationships/hyperlink" Target="https://www.cbo.gov/system/files/2022-08/hr5376_IR_Act_8-3-22.pdf" TargetMode="External"/><Relationship Id="rId28" Type="http://schemas.openxmlformats.org/officeDocument/2006/relationships/hyperlink" Target="https://www.cbo.gov/system/files/2022-08/hr5376_IR_Act_8-3-22.pdf" TargetMode="External"/><Relationship Id="rId49"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14" Type="http://schemas.openxmlformats.org/officeDocument/2006/relationships/hyperlink" Target="https://www.akingump.com/a/web/qAq8TyXj29yerWQVqqjiyT/akin-gumps-comprehensive-section-by-section-of-the-inflation-reduction-act.pdf" TargetMode="External"/><Relationship Id="rId60" Type="http://schemas.openxmlformats.org/officeDocument/2006/relationships/hyperlink" Target="https://crsreports.congress.gov/product/pdf/IN/IN11978" TargetMode="External"/><Relationship Id="rId81" Type="http://schemas.openxmlformats.org/officeDocument/2006/relationships/hyperlink" Target="https://www.jct.gov/publications/2022/jcx-18-22/" TargetMode="External"/><Relationship Id="rId135" Type="http://schemas.openxmlformats.org/officeDocument/2006/relationships/hyperlink" Target="https://recovery.fema.gov/state-profiles" TargetMode="External"/><Relationship Id="rId156" Type="http://schemas.openxmlformats.org/officeDocument/2006/relationships/hyperlink" Target="https://www.eia.gov/electricity/data/browser/" TargetMode="External"/><Relationship Id="rId177" Type="http://schemas.openxmlformats.org/officeDocument/2006/relationships/hyperlink" Target="https://afdc.energy.gov/laws/all?state=US" TargetMode="External"/><Relationship Id="rId198" Type="http://schemas.openxmlformats.org/officeDocument/2006/relationships/hyperlink" Target="https://www.epw.senate.gov/public/_cache/files/2/6/26af3ca8-07f3-41ed-af31-ef0373ccc1b7/5CCB7EB412908BDFAB25C76463BDC27D.climate-and-equity-investments-in-the-inflation-reduction-act-5-.pdf" TargetMode="External"/><Relationship Id="rId202" Type="http://schemas.openxmlformats.org/officeDocument/2006/relationships/hyperlink" Target="https://www.epw.senate.gov/public/_cache/files/2/6/26af3ca8-07f3-41ed-af31-ef0373ccc1b7/5CCB7EB412908BDFAB25C76463BDC27D.climate-and-equity-investments-in-the-inflation-reduction-act-5-.pdf" TargetMode="External"/><Relationship Id="rId223" Type="http://schemas.openxmlformats.org/officeDocument/2006/relationships/hyperlink" Target="https://www.cbo.gov/system/files/2022-09/PL117-169_9-7-22.pdf" TargetMode="External"/><Relationship Id="rId244" Type="http://schemas.openxmlformats.org/officeDocument/2006/relationships/hyperlink" Target="https://www.akingump.com/a/web/qAq8TyXj29yerWQVqqjiyT/akin-gumps-comprehensive-section-by-section-of-the-inflation-reduction-act.pdf" TargetMode="External"/><Relationship Id="rId18" Type="http://schemas.openxmlformats.org/officeDocument/2006/relationships/hyperlink" Target="https://www.indian.senate.gov/sites/default/files/2022-08-16%20%28Final%29%20SCIA%20IRA%20Resource%20Guide.pdf" TargetMode="External"/><Relationship Id="rId39" Type="http://schemas.openxmlformats.org/officeDocument/2006/relationships/hyperlink" Target="https://www.jct.gov/publications/2022/jcx-18-22/" TargetMode="External"/><Relationship Id="rId50"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04" Type="http://schemas.openxmlformats.org/officeDocument/2006/relationships/hyperlink" Target="https://www.akingump.com/a/web/qAq8TyXj29yerWQVqqjiyT/akin-gumps-comprehensive-section-by-section-of-the-inflation-reduction-act.pdf" TargetMode="External"/><Relationship Id="rId125" Type="http://schemas.openxmlformats.org/officeDocument/2006/relationships/hyperlink" Target="https://www.kff.org/medicare/state-indicator/medicare-spending-by-residence/?currentTimeframe=0&amp;sortModel=%7B%22colId%22:%22Location%22,%22sort%22:%22asc%22%7D" TargetMode="External"/><Relationship Id="rId146" Type="http://schemas.openxmlformats.org/officeDocument/2006/relationships/hyperlink" Target="http://https/www.pogo.org/analysis/2022/09/the-inflation-reduction-act-topline-oil-and-gas-reforms" TargetMode="External"/><Relationship Id="rId167" Type="http://schemas.openxmlformats.org/officeDocument/2006/relationships/hyperlink" Target="https://www.jct.gov/publications/2022/jcx-18-22/" TargetMode="External"/><Relationship Id="rId188" Type="http://schemas.openxmlformats.org/officeDocument/2006/relationships/hyperlink" Target="https://www.epa.ie/resources/charts--data/climate/" TargetMode="External"/><Relationship Id="rId71"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92" Type="http://schemas.openxmlformats.org/officeDocument/2006/relationships/hyperlink" Target="https://www.cbo.gov/system/files/2022-08/hr5376_IR_Act_8-3-22.pdf" TargetMode="External"/><Relationship Id="rId213" Type="http://schemas.openxmlformats.org/officeDocument/2006/relationships/hyperlink" Target="https://www.cbo.gov/system/files/2022-09/PL117-169_9-7-22.pdf" TargetMode="External"/><Relationship Id="rId234" Type="http://schemas.openxmlformats.org/officeDocument/2006/relationships/hyperlink" Target="https://www.cbo.gov/system/files/2022-09/PL117-169_9-7-22.pdf" TargetMode="External"/><Relationship Id="rId2" Type="http://schemas.openxmlformats.org/officeDocument/2006/relationships/hyperlink" Target="https://www.jct.gov/publications/2022/jcx-18-22/" TargetMode="External"/><Relationship Id="rId29" Type="http://schemas.openxmlformats.org/officeDocument/2006/relationships/hyperlink" Target="https://www.cbo.gov/system/files/2022-09/PL117-169_9-7-22.pdf" TargetMode="External"/><Relationship Id="rId255" Type="http://schemas.openxmlformats.org/officeDocument/2006/relationships/hyperlink" Target="https://www.cbo.gov/system/files/2022-08/hr5376_IR_Act_8-3-22.pdf" TargetMode="External"/><Relationship Id="rId40" Type="http://schemas.openxmlformats.org/officeDocument/2006/relationships/hyperlink" Target="https://www.jct.gov/publications/2022/jcx-18-22/" TargetMode="External"/><Relationship Id="rId115" Type="http://schemas.openxmlformats.org/officeDocument/2006/relationships/hyperlink" Target="https://www.akingump.com/a/web/qAq8TyXj29yerWQVqqjiyT/akin-gumps-comprehensive-section-by-section-of-the-inflation-reduction-act.pdf" TargetMode="External"/><Relationship Id="rId136" Type="http://schemas.openxmlformats.org/officeDocument/2006/relationships/hyperlink" Target="https://www.cbo.gov/system/files/2022-08/hr5376_IR_Act_8-3-22.pdf" TargetMode="External"/><Relationship Id="rId157" Type="http://schemas.openxmlformats.org/officeDocument/2006/relationships/hyperlink" Target="https://www.eia.gov/electricity/data/browser/" TargetMode="External"/><Relationship Id="rId178" Type="http://schemas.openxmlformats.org/officeDocument/2006/relationships/hyperlink" Target="https://afdc.energy.gov/laws/all?state=US" TargetMode="External"/><Relationship Id="rId61" Type="http://schemas.openxmlformats.org/officeDocument/2006/relationships/hyperlink" Target="https://www.noaa.gov/news-release/statement-from-noaa-administrator-on-signing-of-historic-inflation-reduction-act" TargetMode="External"/><Relationship Id="rId82" Type="http://schemas.openxmlformats.org/officeDocument/2006/relationships/hyperlink" Target="https://www.kff.org/medicare/issue-brief/how-will-the-prescription-drug-provisions-in-the-inflation-reduction-act-affect-medicare-beneficiaries/" TargetMode="External"/><Relationship Id="rId199" Type="http://schemas.openxmlformats.org/officeDocument/2006/relationships/hyperlink" Target="https://www.epw.senate.gov/public/_cache/files/2/6/26af3ca8-07f3-41ed-af31-ef0373ccc1b7/5CCB7EB412908BDFAB25C76463BDC27D.climate-and-equity-investments-in-the-inflation-reduction-act-5-.pdf" TargetMode="External"/><Relationship Id="rId203" Type="http://schemas.openxmlformats.org/officeDocument/2006/relationships/hyperlink" Target="https://www.epw.senate.gov/public/_cache/files/2/6/26af3ca8-07f3-41ed-af31-ef0373ccc1b7/5CCB7EB412908BDFAB25C76463BDC27D.climate-and-equity-investments-in-the-inflation-reduction-act-5-.pdf" TargetMode="External"/><Relationship Id="rId19" Type="http://schemas.openxmlformats.org/officeDocument/2006/relationships/hyperlink" Target="https://www.indian.senate.gov/sites/default/files/2022-08-16%20%28Final%29%20SCIA%20IRA%20Resource%20Guide.pdf" TargetMode="External"/><Relationship Id="rId224" Type="http://schemas.openxmlformats.org/officeDocument/2006/relationships/hyperlink" Target="https://www.cbo.gov/system/files/2022-09/PL117-169_9-7-22.pdf" TargetMode="External"/><Relationship Id="rId245" Type="http://schemas.openxmlformats.org/officeDocument/2006/relationships/hyperlink" Target="https://www.akingump.com/a/web/qAq8TyXj29yerWQVqqjiyT/akin-gumps-comprehensive-section-by-section-of-the-inflation-reduction-act.pdf" TargetMode="External"/><Relationship Id="rId30"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105" Type="http://schemas.openxmlformats.org/officeDocument/2006/relationships/hyperlink" Target="https://www.akingump.com/a/web/qAq8TyXj29yerWQVqqjiyT/akin-gumps-comprehensive-section-by-section-of-the-inflation-reduction-act.pdf" TargetMode="External"/><Relationship Id="rId126" Type="http://schemas.openxmlformats.org/officeDocument/2006/relationships/hyperlink" Target="https://www.kff.org/medicare/state-indicator/medicare-spending-by-residence/?currentTimeframe=0&amp;sortModel=%7B%22colId%22:%22Location%22,%22sort%22:%22asc%22%7D" TargetMode="External"/><Relationship Id="rId147" Type="http://schemas.openxmlformats.org/officeDocument/2006/relationships/hyperlink" Target="http://https/www.pogo.org/analysis/2022/09/the-inflation-reduction-act-topline-oil-and-gas-reforms" TargetMode="External"/><Relationship Id="rId168" Type="http://schemas.openxmlformats.org/officeDocument/2006/relationships/hyperlink" Target="https://www.eia.gov/environment/emissions/state/" TargetMode="External"/><Relationship Id="rId51" Type="http://schemas.openxmlformats.org/officeDocument/2006/relationships/hyperlink" Target="https://crsreports.congress.gov/product/pdf/IN/IN11978" TargetMode="External"/><Relationship Id="rId72"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93" Type="http://schemas.openxmlformats.org/officeDocument/2006/relationships/hyperlink" Target="https://www.cbo.gov/system/files/2022-08/hr5376_IR_Act_8-3-22.pdf" TargetMode="External"/><Relationship Id="rId189" Type="http://schemas.openxmlformats.org/officeDocument/2006/relationships/hyperlink" Target="https://www.wctsservices.usda.gov/energy/maps/investment" TargetMode="External"/><Relationship Id="rId3" Type="http://schemas.openxmlformats.org/officeDocument/2006/relationships/hyperlink" Target="https://www.jct.gov/publications/2022/jcx-18-22/" TargetMode="External"/><Relationship Id="rId214" Type="http://schemas.openxmlformats.org/officeDocument/2006/relationships/hyperlink" Target="https://www.cbo.gov/system/files/2022-09/PL117-169_9-7-22.pdf" TargetMode="External"/><Relationship Id="rId235" Type="http://schemas.openxmlformats.org/officeDocument/2006/relationships/hyperlink" Target="https://www.cbo.gov/system/files/2022-09/PL117-169_9-7-22.pdf" TargetMode="External"/><Relationship Id="rId256" Type="http://schemas.openxmlformats.org/officeDocument/2006/relationships/hyperlink" Target="https://www.cbo.gov/system/files/2022-08/hr5376_IR_Act_8-3-22.pdf" TargetMode="External"/><Relationship Id="rId116" Type="http://schemas.openxmlformats.org/officeDocument/2006/relationships/hyperlink" Target="https://www.akingump.com/a/web/qAq8TyXj29yerWQVqqjiyT/akin-gumps-comprehensive-section-by-section-of-the-inflation-reduction-act.pdf" TargetMode="External"/><Relationship Id="rId137" Type="http://schemas.openxmlformats.org/officeDocument/2006/relationships/hyperlink" Target="https://crsreports.congress.gov/product/pdf/R/R47206" TargetMode="External"/><Relationship Id="rId158" Type="http://schemas.openxmlformats.org/officeDocument/2006/relationships/hyperlink" Target="https://www.eia.gov/electricity/data/browser/" TargetMode="External"/><Relationship Id="rId20" Type="http://schemas.openxmlformats.org/officeDocument/2006/relationships/hyperlink" Target="https://www.cbo.gov/system/files/2022-09/PL117-169_9-7-22.pdf" TargetMode="External"/><Relationship Id="rId41" Type="http://schemas.openxmlformats.org/officeDocument/2006/relationships/hyperlink" Target="https://www.jct.gov/publications/2022/jcx-18-22/" TargetMode="External"/><Relationship Id="rId62" Type="http://schemas.openxmlformats.org/officeDocument/2006/relationships/hyperlink" Target="https://www.cbo.gov/system/files/2022-08/hr5376_IR_Act_8-3-22.pdf" TargetMode="External"/><Relationship Id="rId83" Type="http://schemas.openxmlformats.org/officeDocument/2006/relationships/hyperlink" Target="https://www.kff.org/medicare/issue-brief/how-will-the-prescription-drug-provisions-in-the-inflation-reduction-act-affect-medicare-beneficiaries/" TargetMode="External"/><Relationship Id="rId179" Type="http://schemas.openxmlformats.org/officeDocument/2006/relationships/hyperlink" Target="https://afdc.energy.gov/laws/all?state=US" TargetMode="External"/><Relationship Id="rId190" Type="http://schemas.openxmlformats.org/officeDocument/2006/relationships/hyperlink" Target="https://cleanenergy.org/wp-content/uploads/Transportation-Electrification-in-the-Southeast-2022-Report.pdf" TargetMode="External"/><Relationship Id="rId204" Type="http://schemas.openxmlformats.org/officeDocument/2006/relationships/hyperlink" Target="https://www.epw.senate.gov/public/_cache/files/2/6/26af3ca8-07f3-41ed-af31-ef0373ccc1b7/5CCB7EB412908BDFAB25C76463BDC27D.climate-and-equity-investments-in-the-inflation-reduction-act-5-.pdf" TargetMode="External"/><Relationship Id="rId225" Type="http://schemas.openxmlformats.org/officeDocument/2006/relationships/hyperlink" Target="https://www.cbo.gov/system/files/2022-09/PL117-169_9-7-22.pdf" TargetMode="External"/><Relationship Id="rId246" Type="http://schemas.openxmlformats.org/officeDocument/2006/relationships/hyperlink" Target="https://www.akingump.com/a/web/qAq8TyXj29yerWQVqqjiyT/akin-gumps-comprehensive-section-by-section-of-the-inflation-reduction-act.pdf" TargetMode="External"/><Relationship Id="rId106" Type="http://schemas.openxmlformats.org/officeDocument/2006/relationships/hyperlink" Target="https://www.akingump.com/a/web/qAq8TyXj29yerWQVqqjiyT/akin-gumps-comprehensive-section-by-section-of-the-inflation-reduction-act.pdf" TargetMode="External"/><Relationship Id="rId127" Type="http://schemas.openxmlformats.org/officeDocument/2006/relationships/hyperlink" Target="https://www.kff.org/medicaid/state-indicator/total-medicaid-spending/?currentTimeframe=0&amp;sortModel=%7B%22colId%22:%22Location%22,%22sort%22:%22asc%22%7D" TargetMode="External"/><Relationship Id="rId10" Type="http://schemas.openxmlformats.org/officeDocument/2006/relationships/hyperlink" Target="https://www.jct.gov/publications/2022/jcx-18-22/" TargetMode="External"/><Relationship Id="rId31"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52" Type="http://schemas.openxmlformats.org/officeDocument/2006/relationships/hyperlink" Target="https://crsreports.congress.gov/product/pdf/IN/IN11978" TargetMode="External"/><Relationship Id="rId73"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94" Type="http://schemas.openxmlformats.org/officeDocument/2006/relationships/hyperlink" Target="https://www.irs.gov/pub/irs-pdf/p1415.pdf" TargetMode="External"/><Relationship Id="rId148" Type="http://schemas.openxmlformats.org/officeDocument/2006/relationships/hyperlink" Target="http://https/www.pogo.org/analysis/2022/09/the-inflation-reduction-act-topline-oil-and-gas-reforms" TargetMode="External"/><Relationship Id="rId169" Type="http://schemas.openxmlformats.org/officeDocument/2006/relationships/hyperlink" Target="https://www.bing.com/ck/a?!&amp;&amp;p=088825faecd550b2JmltdHM9MTY2MTgwMzc2NSZpZ3VpZD01YmU2ZTJiMi1jZjE4LTQwYTUtYmRmZC00MThhMjY0MzBmOGYmaW5zaWQ9NTE3Ng&amp;ptn=3&amp;hsh=3&amp;fclid=7a3c48ce-27d6-11ed-a75b-52394c64f0cc&amp;u=a1aHR0cHM6Ly9jcnNyZXBvcnRzLmNvbmdyZXNzLmdvdi9wcm9kdWN0L3BkZi9SL1I0NzIwMg&amp;ntb=1" TargetMode="External"/><Relationship Id="rId4" Type="http://schemas.openxmlformats.org/officeDocument/2006/relationships/hyperlink" Target="https://crsreports.congress.gov/product/pdf/R/R47202" TargetMode="External"/><Relationship Id="rId180" Type="http://schemas.openxmlformats.org/officeDocument/2006/relationships/hyperlink" Target="https://www.transportation.gov/rural/routes/usdot-discretionary-grant-funding-matrix-0" TargetMode="External"/><Relationship Id="rId215" Type="http://schemas.openxmlformats.org/officeDocument/2006/relationships/hyperlink" Target="https://www.cbo.gov/system/files/2022-09/PL117-169_9-7-22.pdf" TargetMode="External"/><Relationship Id="rId236" Type="http://schemas.openxmlformats.org/officeDocument/2006/relationships/hyperlink" Target="https://www.cbo.gov/system/files/2022-09/PL117-169_9-7-22.pdf" TargetMode="External"/><Relationship Id="rId257" Type="http://schemas.openxmlformats.org/officeDocument/2006/relationships/hyperlink" Target="https://www.cbo.gov/system/files/2022-08/hr5376_IR_Act_8-3-22.pdf" TargetMode="External"/><Relationship Id="rId42" Type="http://schemas.openxmlformats.org/officeDocument/2006/relationships/hyperlink" Target="https://www.jct.gov/publications/2022/jcx-18-22/" TargetMode="External"/><Relationship Id="rId84" Type="http://schemas.openxmlformats.org/officeDocument/2006/relationships/hyperlink" Target="https://www.kff.org/medicaid/state-indicator/total-medicaid-spending/?currentTimeframe=0&amp;sortModel=%7B%22colId%22:%22Location%22,%22sort%22:%22asc%22%7D" TargetMode="External"/><Relationship Id="rId138" Type="http://schemas.openxmlformats.org/officeDocument/2006/relationships/hyperlink" Target="https://crsreports.congress.gov/product/pdf/IN/IN1198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8717B-E71D-48EF-9176-39A2BC772A2B}">
  <sheetPr>
    <pageSetUpPr fitToPage="1"/>
  </sheetPr>
  <dimension ref="A1:AP246"/>
  <sheetViews>
    <sheetView tabSelected="1" topLeftCell="F1" zoomScaleNormal="100" workbookViewId="0">
      <pane ySplit="3" topLeftCell="A4" activePane="bottomLeft" state="frozen"/>
      <selection pane="bottomLeft" activeCell="Q235" sqref="Q235"/>
    </sheetView>
  </sheetViews>
  <sheetFormatPr defaultRowHeight="15"/>
  <cols>
    <col min="1" max="1" width="3.85546875" bestFit="1" customWidth="1"/>
    <col min="2" max="2" width="12.85546875" customWidth="1"/>
    <col min="3" max="3" width="30.140625" customWidth="1"/>
    <col min="4" max="4" width="10.7109375" style="5" customWidth="1"/>
    <col min="5" max="5" width="13.42578125" style="5" customWidth="1"/>
    <col min="6" max="6" width="14.5703125" customWidth="1"/>
    <col min="7" max="7" width="10.5703125" customWidth="1"/>
    <col min="8" max="9" width="11.85546875" customWidth="1"/>
    <col min="10" max="10" width="18.140625" style="25" customWidth="1"/>
    <col min="11" max="11" width="13.42578125" style="19" customWidth="1"/>
    <col min="12" max="12" width="40.28515625" customWidth="1"/>
    <col min="13" max="13" width="12" customWidth="1"/>
    <col min="14" max="14" width="11.85546875" customWidth="1"/>
    <col min="15" max="15" width="28.5703125" customWidth="1"/>
    <col min="16" max="18" width="8.7109375" style="15"/>
    <col min="19" max="19" width="25.5703125" style="38" hidden="1" customWidth="1"/>
  </cols>
  <sheetData>
    <row r="1" spans="1:40" ht="15.75">
      <c r="A1" s="56" t="s">
        <v>0</v>
      </c>
      <c r="B1" s="56"/>
      <c r="C1" s="56"/>
      <c r="D1" s="56"/>
      <c r="E1" s="56"/>
      <c r="F1" s="56"/>
      <c r="G1" s="56"/>
      <c r="H1" s="56"/>
      <c r="I1" s="56"/>
      <c r="J1" s="56"/>
      <c r="K1" s="56"/>
      <c r="L1" s="56"/>
      <c r="M1" s="56"/>
      <c r="N1" s="56"/>
      <c r="O1" s="56"/>
      <c r="P1" s="56"/>
      <c r="Q1" s="56"/>
      <c r="R1" s="56"/>
    </row>
    <row r="2" spans="1:40" ht="27.75" customHeight="1">
      <c r="A2" s="8"/>
      <c r="B2" s="55" t="s">
        <v>1</v>
      </c>
      <c r="C2" s="55" t="s">
        <v>2</v>
      </c>
      <c r="D2" s="54" t="s">
        <v>3</v>
      </c>
      <c r="E2" s="54" t="s">
        <v>4</v>
      </c>
      <c r="F2" s="57" t="s">
        <v>5</v>
      </c>
      <c r="G2" s="57"/>
      <c r="H2" s="57" t="s">
        <v>6</v>
      </c>
      <c r="I2" s="57"/>
      <c r="J2" s="21"/>
      <c r="K2" s="54" t="s">
        <v>7</v>
      </c>
      <c r="L2" s="54" t="s">
        <v>8</v>
      </c>
      <c r="M2" s="54" t="s">
        <v>9</v>
      </c>
      <c r="N2" s="54" t="s">
        <v>10</v>
      </c>
      <c r="O2" s="54" t="s">
        <v>11</v>
      </c>
      <c r="P2" s="54" t="s">
        <v>12</v>
      </c>
      <c r="Q2" s="54" t="s">
        <v>13</v>
      </c>
      <c r="R2" s="54" t="s">
        <v>14</v>
      </c>
    </row>
    <row r="3" spans="1:40" ht="30" customHeight="1">
      <c r="A3" s="9"/>
      <c r="B3" s="55"/>
      <c r="C3" s="55"/>
      <c r="D3" s="54"/>
      <c r="E3" s="54"/>
      <c r="F3" s="46" t="s">
        <v>15</v>
      </c>
      <c r="G3" s="46" t="s">
        <v>16</v>
      </c>
      <c r="H3" s="46" t="s">
        <v>17</v>
      </c>
      <c r="I3" s="46" t="s">
        <v>18</v>
      </c>
      <c r="J3" s="46" t="s">
        <v>19</v>
      </c>
      <c r="K3" s="54"/>
      <c r="L3" s="54"/>
      <c r="M3" s="54"/>
      <c r="N3" s="54"/>
      <c r="O3" s="54"/>
      <c r="P3" s="54"/>
      <c r="Q3" s="54"/>
      <c r="R3" s="54"/>
      <c r="S3" s="38" t="s">
        <v>20</v>
      </c>
    </row>
    <row r="4" spans="1:40" ht="15" customHeight="1">
      <c r="A4" s="53" t="s">
        <v>21</v>
      </c>
      <c r="B4" s="53"/>
      <c r="C4" s="53"/>
      <c r="D4" s="53"/>
      <c r="E4" s="53"/>
      <c r="F4" s="53"/>
      <c r="G4" s="53"/>
      <c r="H4" s="53"/>
      <c r="I4" s="53"/>
      <c r="J4" s="53"/>
      <c r="K4" s="53"/>
      <c r="L4" s="53"/>
      <c r="M4" s="53"/>
      <c r="N4" s="53"/>
      <c r="O4" s="53"/>
      <c r="P4" s="53"/>
      <c r="Q4" s="53"/>
      <c r="R4" s="53"/>
    </row>
    <row r="5" spans="1:40" ht="51.75">
      <c r="A5" s="1">
        <v>1</v>
      </c>
      <c r="B5" s="1">
        <v>10101</v>
      </c>
      <c r="C5" s="1" t="s">
        <v>22</v>
      </c>
      <c r="D5" s="44" t="s">
        <v>23</v>
      </c>
      <c r="E5" s="44" t="s">
        <v>24</v>
      </c>
      <c r="F5" s="3"/>
      <c r="G5" s="3">
        <v>-222248</v>
      </c>
      <c r="H5" s="51" t="s">
        <v>24</v>
      </c>
      <c r="I5" s="51"/>
      <c r="J5" s="20"/>
      <c r="K5" s="7" t="s">
        <v>25</v>
      </c>
      <c r="L5" s="2" t="s">
        <v>26</v>
      </c>
      <c r="M5" s="2" t="s">
        <v>27</v>
      </c>
      <c r="N5" s="2" t="s">
        <v>24</v>
      </c>
      <c r="O5" s="2" t="s">
        <v>28</v>
      </c>
      <c r="P5" s="26" t="s">
        <v>29</v>
      </c>
      <c r="Q5" s="26" t="s">
        <v>30</v>
      </c>
      <c r="S5" s="38" t="s">
        <v>31</v>
      </c>
      <c r="AN5" s="31"/>
    </row>
    <row r="6" spans="1:40" ht="30">
      <c r="A6" s="1">
        <f>A5+1</f>
        <v>2</v>
      </c>
      <c r="B6" s="1">
        <v>10201</v>
      </c>
      <c r="C6" s="1" t="s">
        <v>32</v>
      </c>
      <c r="D6" s="44" t="s">
        <v>23</v>
      </c>
      <c r="E6" s="44" t="s">
        <v>24</v>
      </c>
      <c r="F6" s="3"/>
      <c r="G6" s="3">
        <v>-73686</v>
      </c>
      <c r="H6" s="51" t="s">
        <v>24</v>
      </c>
      <c r="I6" s="51"/>
      <c r="J6" s="20"/>
      <c r="K6" s="7" t="s">
        <v>25</v>
      </c>
      <c r="L6" s="2" t="s">
        <v>33</v>
      </c>
      <c r="M6" s="2" t="s">
        <v>27</v>
      </c>
      <c r="N6" s="2" t="s">
        <v>24</v>
      </c>
      <c r="O6" s="2" t="s">
        <v>34</v>
      </c>
      <c r="P6" s="26" t="s">
        <v>29</v>
      </c>
      <c r="Q6" s="26" t="s">
        <v>30</v>
      </c>
      <c r="S6" s="38" t="s">
        <v>31</v>
      </c>
    </row>
    <row r="7" spans="1:40" ht="72.75" customHeight="1">
      <c r="A7" s="1">
        <v>3</v>
      </c>
      <c r="B7" s="1">
        <v>10301</v>
      </c>
      <c r="C7" s="1" t="s">
        <v>35</v>
      </c>
      <c r="D7" s="44" t="s">
        <v>36</v>
      </c>
      <c r="E7" s="44" t="s">
        <v>24</v>
      </c>
      <c r="F7" s="3">
        <v>79622</v>
      </c>
      <c r="G7" s="3">
        <v>-180400</v>
      </c>
      <c r="H7" s="3">
        <f>-ROUND($G7*271/381*0.02*(4/37),-1)</f>
        <v>280</v>
      </c>
      <c r="I7" s="3">
        <f>-ROUND($G7*271/381*0.03*(4/37),-1)</f>
        <v>420</v>
      </c>
      <c r="J7" s="20" t="s">
        <v>37</v>
      </c>
      <c r="K7" s="6" t="s">
        <v>38</v>
      </c>
      <c r="L7" s="2" t="s">
        <v>39</v>
      </c>
      <c r="M7" s="2" t="s">
        <v>27</v>
      </c>
      <c r="N7" s="2" t="s">
        <v>40</v>
      </c>
      <c r="O7" s="2" t="s">
        <v>41</v>
      </c>
      <c r="P7" s="26" t="s">
        <v>29</v>
      </c>
      <c r="Q7" s="27" t="s">
        <v>42</v>
      </c>
      <c r="R7" s="26" t="s">
        <v>27</v>
      </c>
      <c r="S7" s="38" t="s">
        <v>31</v>
      </c>
    </row>
    <row r="8" spans="1:40" ht="73.5" customHeight="1">
      <c r="A8" s="1">
        <f>A7+1</f>
        <v>4</v>
      </c>
      <c r="B8" s="1">
        <v>13903</v>
      </c>
      <c r="C8" s="1" t="s">
        <v>43</v>
      </c>
      <c r="D8" s="44" t="s">
        <v>23</v>
      </c>
      <c r="E8" s="44" t="s">
        <v>24</v>
      </c>
      <c r="F8" s="3"/>
      <c r="G8" s="3">
        <v>-52759</v>
      </c>
      <c r="H8" s="3">
        <f>-ROUND($G8*0.02*(4/37),-1)</f>
        <v>110</v>
      </c>
      <c r="I8" s="3">
        <f>-ROUND($G8*0.03*(4/37),-1)</f>
        <v>170</v>
      </c>
      <c r="J8" s="20" t="s">
        <v>44</v>
      </c>
      <c r="K8" s="6" t="s">
        <v>45</v>
      </c>
      <c r="L8" s="2" t="s">
        <v>46</v>
      </c>
      <c r="M8" s="2" t="s">
        <v>27</v>
      </c>
      <c r="N8" s="2" t="s">
        <v>40</v>
      </c>
      <c r="O8" s="2" t="s">
        <v>47</v>
      </c>
      <c r="P8" s="26" t="s">
        <v>29</v>
      </c>
      <c r="Q8" s="26" t="s">
        <v>30</v>
      </c>
      <c r="R8" s="26"/>
      <c r="S8" s="38" t="s">
        <v>31</v>
      </c>
    </row>
    <row r="9" spans="1:40" ht="45">
      <c r="A9" s="1">
        <f>A8+1</f>
        <v>5</v>
      </c>
      <c r="B9" s="1">
        <v>13901</v>
      </c>
      <c r="C9" s="1" t="s">
        <v>48</v>
      </c>
      <c r="D9" s="44" t="s">
        <v>36</v>
      </c>
      <c r="E9" s="44" t="s">
        <v>24</v>
      </c>
      <c r="F9" s="3">
        <v>1159</v>
      </c>
      <c r="G9" s="3">
        <v>-1159</v>
      </c>
      <c r="H9" s="51" t="s">
        <v>24</v>
      </c>
      <c r="I9" s="51"/>
      <c r="J9" s="20"/>
      <c r="K9" s="6" t="s">
        <v>49</v>
      </c>
      <c r="L9" s="2" t="s">
        <v>50</v>
      </c>
      <c r="M9" s="2" t="s">
        <v>27</v>
      </c>
      <c r="N9" s="2" t="s">
        <v>24</v>
      </c>
      <c r="O9" s="2" t="s">
        <v>51</v>
      </c>
      <c r="P9" s="26" t="s">
        <v>29</v>
      </c>
      <c r="Q9" s="26" t="s">
        <v>30</v>
      </c>
      <c r="R9" s="26" t="s">
        <v>52</v>
      </c>
      <c r="S9" s="38" t="s">
        <v>31</v>
      </c>
    </row>
    <row r="10" spans="1:40" ht="77.25">
      <c r="A10" s="1">
        <f>A9+1</f>
        <v>6</v>
      </c>
      <c r="B10" s="1">
        <v>13902</v>
      </c>
      <c r="C10" s="1" t="s">
        <v>53</v>
      </c>
      <c r="D10" s="44" t="s">
        <v>54</v>
      </c>
      <c r="E10" s="44" t="s">
        <v>24</v>
      </c>
      <c r="F10" s="3">
        <v>168</v>
      </c>
      <c r="G10" s="3"/>
      <c r="H10" s="3">
        <f>ROUND($F10*0.02,0)</f>
        <v>3</v>
      </c>
      <c r="I10" s="3">
        <f>ROUND($F10*0.04,0)</f>
        <v>7</v>
      </c>
      <c r="J10" s="20" t="s">
        <v>55</v>
      </c>
      <c r="K10" s="6" t="s">
        <v>25</v>
      </c>
      <c r="L10" s="2" t="s">
        <v>56</v>
      </c>
      <c r="M10" s="2" t="s">
        <v>27</v>
      </c>
      <c r="N10" s="2" t="s">
        <v>57</v>
      </c>
      <c r="O10" s="2" t="s">
        <v>58</v>
      </c>
      <c r="P10" s="26" t="s">
        <v>29</v>
      </c>
      <c r="Q10" s="26" t="s">
        <v>30</v>
      </c>
      <c r="S10" s="38" t="s">
        <v>31</v>
      </c>
    </row>
    <row r="11" spans="1:40" ht="15" customHeight="1">
      <c r="A11" s="53" t="s">
        <v>59</v>
      </c>
      <c r="B11" s="53"/>
      <c r="C11" s="53"/>
      <c r="D11" s="53"/>
      <c r="E11" s="53"/>
      <c r="F11" s="53"/>
      <c r="G11" s="53"/>
      <c r="H11" s="53"/>
      <c r="I11" s="53"/>
      <c r="J11" s="53"/>
      <c r="K11" s="53"/>
      <c r="L11" s="53"/>
      <c r="M11" s="53"/>
      <c r="N11" s="53"/>
      <c r="O11" s="53"/>
      <c r="P11" s="53"/>
      <c r="Q11" s="53"/>
      <c r="R11" s="53"/>
    </row>
    <row r="12" spans="1:40" ht="15" customHeight="1">
      <c r="A12" s="49" t="s">
        <v>60</v>
      </c>
      <c r="B12" s="49"/>
      <c r="C12" s="49"/>
      <c r="D12" s="49"/>
      <c r="E12" s="49"/>
      <c r="F12" s="49"/>
      <c r="G12" s="49"/>
      <c r="H12" s="49"/>
      <c r="I12" s="49"/>
      <c r="J12" s="49"/>
      <c r="K12" s="49"/>
      <c r="L12" s="49"/>
      <c r="M12" s="49"/>
      <c r="N12" s="49"/>
      <c r="O12" s="49"/>
      <c r="P12" s="49"/>
      <c r="Q12" s="49"/>
      <c r="R12" s="49"/>
    </row>
    <row r="13" spans="1:40" ht="51.75">
      <c r="A13" s="1">
        <f ca="1">OFFSET(A11,-1,0)+1</f>
        <v>7</v>
      </c>
      <c r="B13" s="1">
        <v>11001</v>
      </c>
      <c r="C13" s="1" t="s">
        <v>61</v>
      </c>
      <c r="D13" s="44" t="s">
        <v>62</v>
      </c>
      <c r="E13" s="44" t="s">
        <v>24</v>
      </c>
      <c r="F13" s="3"/>
      <c r="G13" s="3">
        <v>-101796</v>
      </c>
      <c r="H13" s="51" t="s">
        <v>24</v>
      </c>
      <c r="I13" s="51"/>
      <c r="J13" s="20"/>
      <c r="K13" s="7" t="s">
        <v>63</v>
      </c>
      <c r="L13" s="2" t="s">
        <v>64</v>
      </c>
      <c r="M13" s="2" t="s">
        <v>65</v>
      </c>
      <c r="N13" s="2" t="s">
        <v>24</v>
      </c>
      <c r="O13" s="2" t="s">
        <v>66</v>
      </c>
      <c r="P13" s="26" t="s">
        <v>42</v>
      </c>
      <c r="S13" s="38" t="s">
        <v>31</v>
      </c>
    </row>
    <row r="14" spans="1:40" ht="77.25">
      <c r="A14" s="1">
        <f ca="1">A13+1</f>
        <v>8</v>
      </c>
      <c r="B14" s="1">
        <v>11002</v>
      </c>
      <c r="C14" s="1" t="s">
        <v>67</v>
      </c>
      <c r="D14" s="44" t="s">
        <v>62</v>
      </c>
      <c r="E14" s="44" t="s">
        <v>24</v>
      </c>
      <c r="F14" s="3"/>
      <c r="G14" s="17" t="s">
        <v>68</v>
      </c>
      <c r="H14" s="51" t="s">
        <v>24</v>
      </c>
      <c r="I14" s="51"/>
      <c r="J14" s="20"/>
      <c r="K14" s="7" t="s">
        <v>69</v>
      </c>
      <c r="L14" s="2" t="s">
        <v>70</v>
      </c>
      <c r="M14" s="2"/>
      <c r="N14" s="2"/>
      <c r="O14" s="2"/>
      <c r="P14" s="10" t="s">
        <v>71</v>
      </c>
      <c r="Q14" s="10"/>
      <c r="S14" s="38" t="s">
        <v>31</v>
      </c>
    </row>
    <row r="15" spans="1:40" ht="51.75">
      <c r="A15" s="1">
        <f ca="1">A14+1</f>
        <v>9</v>
      </c>
      <c r="B15" s="1">
        <v>11003</v>
      </c>
      <c r="C15" s="1" t="s">
        <v>72</v>
      </c>
      <c r="D15" s="44" t="s">
        <v>23</v>
      </c>
      <c r="E15" s="44" t="s">
        <v>24</v>
      </c>
      <c r="F15" s="3"/>
      <c r="G15" s="17" t="s">
        <v>68</v>
      </c>
      <c r="H15" s="51" t="s">
        <v>24</v>
      </c>
      <c r="I15" s="51"/>
      <c r="J15" s="22"/>
      <c r="K15" s="6" t="s">
        <v>63</v>
      </c>
      <c r="L15" s="2" t="s">
        <v>73</v>
      </c>
      <c r="M15" s="2" t="s">
        <v>65</v>
      </c>
      <c r="N15" s="2" t="s">
        <v>24</v>
      </c>
      <c r="O15" s="2" t="s">
        <v>74</v>
      </c>
      <c r="P15" s="26" t="s">
        <v>42</v>
      </c>
      <c r="S15" s="38" t="s">
        <v>31</v>
      </c>
    </row>
    <row r="16" spans="1:40" ht="26.25">
      <c r="A16" s="1">
        <f ca="1">A15+1</f>
        <v>10</v>
      </c>
      <c r="B16" s="1">
        <v>11004</v>
      </c>
      <c r="C16" s="1" t="s">
        <v>75</v>
      </c>
      <c r="D16" s="44" t="s">
        <v>76</v>
      </c>
      <c r="E16" s="44" t="s">
        <v>24</v>
      </c>
      <c r="F16" s="3">
        <v>2845</v>
      </c>
      <c r="G16" s="3"/>
      <c r="H16" s="48" t="s">
        <v>24</v>
      </c>
      <c r="I16" s="48"/>
      <c r="J16" s="22"/>
      <c r="K16" s="6" t="s">
        <v>77</v>
      </c>
      <c r="L16" s="2" t="s">
        <v>78</v>
      </c>
      <c r="M16" s="2" t="s">
        <v>65</v>
      </c>
      <c r="N16" s="2" t="s">
        <v>24</v>
      </c>
      <c r="O16" s="2"/>
      <c r="P16" s="2"/>
      <c r="S16" s="38" t="s">
        <v>31</v>
      </c>
    </row>
    <row r="17" spans="1:19" ht="15" customHeight="1">
      <c r="A17" s="49" t="s">
        <v>79</v>
      </c>
      <c r="B17" s="49"/>
      <c r="C17" s="49"/>
      <c r="D17" s="49"/>
      <c r="E17" s="49"/>
      <c r="F17" s="49"/>
      <c r="G17" s="49"/>
      <c r="H17" s="49"/>
      <c r="I17" s="49"/>
      <c r="J17" s="49"/>
      <c r="K17" s="49"/>
      <c r="L17" s="49"/>
      <c r="M17" s="49"/>
      <c r="N17" s="49"/>
      <c r="O17" s="49"/>
      <c r="P17" s="49"/>
      <c r="Q17" s="49"/>
      <c r="R17" s="49"/>
    </row>
    <row r="18" spans="1:19" ht="39">
      <c r="A18" s="1">
        <f ca="1">OFFSET(A17,-1,0)+1</f>
        <v>11</v>
      </c>
      <c r="B18" s="4" t="s">
        <v>80</v>
      </c>
      <c r="C18" s="1" t="s">
        <v>81</v>
      </c>
      <c r="D18" s="44" t="s">
        <v>82</v>
      </c>
      <c r="E18" s="44" t="s">
        <v>24</v>
      </c>
      <c r="F18" s="3"/>
      <c r="G18" s="3">
        <f>-62311-38406</f>
        <v>-100717</v>
      </c>
      <c r="H18" s="48" t="s">
        <v>83</v>
      </c>
      <c r="I18" s="48"/>
      <c r="J18" s="22"/>
      <c r="K18" s="7"/>
      <c r="L18" s="2" t="s">
        <v>84</v>
      </c>
      <c r="M18" s="2" t="s">
        <v>65</v>
      </c>
      <c r="N18" s="2" t="s">
        <v>85</v>
      </c>
      <c r="O18" s="2" t="s">
        <v>86</v>
      </c>
      <c r="P18" s="26" t="s">
        <v>42</v>
      </c>
      <c r="Q18" s="27" t="s">
        <v>87</v>
      </c>
      <c r="S18" s="38" t="s">
        <v>31</v>
      </c>
    </row>
    <row r="19" spans="1:19" ht="51.75">
      <c r="A19" s="1">
        <f ca="1">A18+1</f>
        <v>12</v>
      </c>
      <c r="B19" s="1">
        <v>11201</v>
      </c>
      <c r="C19" s="1" t="s">
        <v>88</v>
      </c>
      <c r="D19" s="44" t="s">
        <v>76</v>
      </c>
      <c r="E19" s="44" t="s">
        <v>89</v>
      </c>
      <c r="F19" s="3">
        <v>24975</v>
      </c>
      <c r="G19" s="3"/>
      <c r="H19" s="3">
        <f>ROUND($F19*0.03,-1)</f>
        <v>750</v>
      </c>
      <c r="I19" s="3">
        <f>ROUND($F19*0.04,-1)</f>
        <v>1000</v>
      </c>
      <c r="J19" s="23" t="s">
        <v>90</v>
      </c>
      <c r="K19" s="6" t="s">
        <v>91</v>
      </c>
      <c r="L19" s="2" t="s">
        <v>92</v>
      </c>
      <c r="M19" s="2" t="s">
        <v>65</v>
      </c>
      <c r="N19" s="2" t="s">
        <v>85</v>
      </c>
      <c r="O19" s="2" t="s">
        <v>93</v>
      </c>
      <c r="P19" s="26" t="s">
        <v>42</v>
      </c>
      <c r="Q19" s="27" t="s">
        <v>87</v>
      </c>
      <c r="S19" s="38" t="s">
        <v>31</v>
      </c>
    </row>
    <row r="20" spans="1:19" ht="60">
      <c r="A20" s="1">
        <f t="shared" ref="A20:A26" ca="1" si="0">A19+1</f>
        <v>13</v>
      </c>
      <c r="B20" s="1">
        <v>11202</v>
      </c>
      <c r="C20" s="1" t="s">
        <v>94</v>
      </c>
      <c r="D20" s="44" t="s">
        <v>76</v>
      </c>
      <c r="E20" s="44" t="s">
        <v>89</v>
      </c>
      <c r="F20" s="3">
        <v>125</v>
      </c>
      <c r="G20" s="3"/>
      <c r="H20" s="3">
        <f>ROUND($F20*0.03,0)</f>
        <v>4</v>
      </c>
      <c r="I20" s="3">
        <f>ROUND($F20*0.04,0)</f>
        <v>5</v>
      </c>
      <c r="J20" s="23" t="s">
        <v>90</v>
      </c>
      <c r="K20" s="6" t="s">
        <v>95</v>
      </c>
      <c r="L20" s="2" t="s">
        <v>96</v>
      </c>
      <c r="M20" s="2" t="s">
        <v>65</v>
      </c>
      <c r="N20" s="2" t="s">
        <v>85</v>
      </c>
      <c r="O20" s="2" t="s">
        <v>93</v>
      </c>
      <c r="P20" s="26" t="s">
        <v>42</v>
      </c>
      <c r="S20" s="38" t="s">
        <v>31</v>
      </c>
    </row>
    <row r="21" spans="1:19" ht="75">
      <c r="A21" s="1">
        <f t="shared" ca="1" si="0"/>
        <v>14</v>
      </c>
      <c r="B21" s="1">
        <v>11301</v>
      </c>
      <c r="C21" s="1" t="s">
        <v>97</v>
      </c>
      <c r="D21" s="44" t="s">
        <v>62</v>
      </c>
      <c r="E21" s="44" t="s">
        <v>24</v>
      </c>
      <c r="F21" s="3"/>
      <c r="G21" s="3">
        <v>-122151</v>
      </c>
      <c r="H21" s="51" t="s">
        <v>24</v>
      </c>
      <c r="I21" s="51"/>
      <c r="J21" s="22"/>
      <c r="K21" s="6" t="s">
        <v>98</v>
      </c>
      <c r="L21" s="2" t="s">
        <v>99</v>
      </c>
      <c r="M21" s="2" t="s">
        <v>65</v>
      </c>
      <c r="N21" s="2" t="s">
        <v>85</v>
      </c>
      <c r="O21" s="2" t="s">
        <v>100</v>
      </c>
      <c r="P21" s="26" t="s">
        <v>42</v>
      </c>
      <c r="Q21" s="26" t="s">
        <v>87</v>
      </c>
      <c r="S21" s="38" t="s">
        <v>31</v>
      </c>
    </row>
    <row r="22" spans="1:19" ht="45">
      <c r="A22" s="1">
        <f t="shared" ca="1" si="0"/>
        <v>15</v>
      </c>
      <c r="B22" s="1">
        <v>11401</v>
      </c>
      <c r="C22" s="1" t="s">
        <v>101</v>
      </c>
      <c r="D22" s="44" t="s">
        <v>76</v>
      </c>
      <c r="E22" s="44" t="s">
        <v>89</v>
      </c>
      <c r="F22" s="3">
        <v>4419</v>
      </c>
      <c r="G22" s="3"/>
      <c r="H22" s="3">
        <f>ROUND($F22*0.03,0)</f>
        <v>133</v>
      </c>
      <c r="I22" s="3">
        <f>ROUND($F22*0.04,0)</f>
        <v>177</v>
      </c>
      <c r="J22" s="23" t="s">
        <v>90</v>
      </c>
      <c r="K22" s="6"/>
      <c r="L22" s="2" t="s">
        <v>102</v>
      </c>
      <c r="M22" s="2" t="s">
        <v>65</v>
      </c>
      <c r="N22" s="2" t="s">
        <v>85</v>
      </c>
      <c r="O22" s="2" t="s">
        <v>103</v>
      </c>
      <c r="P22" s="26" t="s">
        <v>42</v>
      </c>
      <c r="Q22" s="27" t="s">
        <v>87</v>
      </c>
      <c r="S22" s="38" t="s">
        <v>31</v>
      </c>
    </row>
    <row r="23" spans="1:19" ht="45">
      <c r="A23" s="1">
        <f t="shared" ca="1" si="0"/>
        <v>16</v>
      </c>
      <c r="B23" s="1">
        <v>11402</v>
      </c>
      <c r="C23" s="1" t="s">
        <v>104</v>
      </c>
      <c r="D23" s="44" t="s">
        <v>105</v>
      </c>
      <c r="E23" s="44" t="s">
        <v>24</v>
      </c>
      <c r="F23" s="3"/>
      <c r="G23" s="3">
        <v>-15</v>
      </c>
      <c r="H23" s="51" t="s">
        <v>24</v>
      </c>
      <c r="I23" s="51"/>
      <c r="J23" s="22"/>
      <c r="K23" s="6" t="s">
        <v>106</v>
      </c>
      <c r="L23" s="2" t="s">
        <v>107</v>
      </c>
      <c r="M23" s="2" t="s">
        <v>65</v>
      </c>
      <c r="N23" s="2" t="s">
        <v>85</v>
      </c>
      <c r="O23" s="2" t="s">
        <v>86</v>
      </c>
      <c r="P23" s="26" t="s">
        <v>42</v>
      </c>
      <c r="S23" s="38" t="s">
        <v>31</v>
      </c>
    </row>
    <row r="24" spans="1:19" ht="45">
      <c r="A24" s="1">
        <f t="shared" ca="1" si="0"/>
        <v>17</v>
      </c>
      <c r="B24" s="1">
        <v>11403</v>
      </c>
      <c r="C24" s="1" t="s">
        <v>108</v>
      </c>
      <c r="D24" s="44" t="s">
        <v>76</v>
      </c>
      <c r="E24" s="44" t="s">
        <v>24</v>
      </c>
      <c r="F24" s="3">
        <v>0</v>
      </c>
      <c r="G24" s="3"/>
      <c r="H24" s="51" t="s">
        <v>24</v>
      </c>
      <c r="I24" s="51"/>
      <c r="J24" s="22"/>
      <c r="K24" s="6"/>
      <c r="L24" s="2" t="s">
        <v>109</v>
      </c>
      <c r="M24" s="2" t="s">
        <v>65</v>
      </c>
      <c r="N24" s="2" t="s">
        <v>85</v>
      </c>
      <c r="O24" s="2" t="s">
        <v>86</v>
      </c>
      <c r="P24" s="26" t="s">
        <v>42</v>
      </c>
      <c r="S24" s="38" t="s">
        <v>31</v>
      </c>
    </row>
    <row r="25" spans="1:19" ht="51.75">
      <c r="A25" s="1">
        <f t="shared" ca="1" si="0"/>
        <v>18</v>
      </c>
      <c r="B25" s="1">
        <v>11404</v>
      </c>
      <c r="C25" s="1" t="s">
        <v>110</v>
      </c>
      <c r="D25" s="44" t="s">
        <v>76</v>
      </c>
      <c r="E25" s="44" t="s">
        <v>89</v>
      </c>
      <c r="F25" s="3">
        <v>2205</v>
      </c>
      <c r="G25" s="3"/>
      <c r="H25" s="3">
        <f>ROUND($F25*0.03,0)</f>
        <v>66</v>
      </c>
      <c r="I25" s="3">
        <f>ROUND($F25*0.04,0)</f>
        <v>88</v>
      </c>
      <c r="J25" s="23" t="s">
        <v>90</v>
      </c>
      <c r="K25" s="6"/>
      <c r="L25" s="2" t="s">
        <v>111</v>
      </c>
      <c r="M25" s="2" t="s">
        <v>65</v>
      </c>
      <c r="N25" s="2" t="s">
        <v>85</v>
      </c>
      <c r="O25" s="2" t="s">
        <v>112</v>
      </c>
      <c r="P25" s="26" t="s">
        <v>42</v>
      </c>
      <c r="S25" s="38" t="s">
        <v>31</v>
      </c>
    </row>
    <row r="26" spans="1:19" ht="45">
      <c r="A26" s="1">
        <f t="shared" ca="1" si="0"/>
        <v>19</v>
      </c>
      <c r="B26" s="1">
        <v>11405</v>
      </c>
      <c r="C26" s="1" t="s">
        <v>113</v>
      </c>
      <c r="D26" s="44" t="s">
        <v>76</v>
      </c>
      <c r="E26" s="44" t="s">
        <v>89</v>
      </c>
      <c r="F26" s="3">
        <v>2534</v>
      </c>
      <c r="G26" s="3"/>
      <c r="H26" s="3">
        <f>ROUND($F26*0.018,0)</f>
        <v>46</v>
      </c>
      <c r="I26" s="3">
        <f>ROUND($F26*0.028,0)</f>
        <v>71</v>
      </c>
      <c r="J26" s="23" t="s">
        <v>114</v>
      </c>
      <c r="K26" s="6"/>
      <c r="L26" s="2" t="s">
        <v>115</v>
      </c>
      <c r="M26" s="2" t="s">
        <v>65</v>
      </c>
      <c r="N26" s="2" t="s">
        <v>85</v>
      </c>
      <c r="O26" s="2" t="s">
        <v>116</v>
      </c>
      <c r="P26" s="26" t="s">
        <v>42</v>
      </c>
      <c r="Q26" s="27" t="s">
        <v>87</v>
      </c>
      <c r="S26" s="38" t="s">
        <v>31</v>
      </c>
    </row>
    <row r="27" spans="1:19" ht="15" customHeight="1">
      <c r="A27" s="49" t="s">
        <v>117</v>
      </c>
      <c r="B27" s="49"/>
      <c r="C27" s="49"/>
      <c r="D27" s="49"/>
      <c r="E27" s="49"/>
      <c r="F27" s="49"/>
      <c r="G27" s="49"/>
      <c r="H27" s="49"/>
      <c r="I27" s="49"/>
      <c r="J27" s="49"/>
      <c r="K27" s="49"/>
      <c r="L27" s="49"/>
      <c r="M27" s="49"/>
      <c r="N27" s="49"/>
      <c r="O27" s="49"/>
      <c r="P27" s="49"/>
      <c r="Q27" s="49"/>
      <c r="R27" s="49"/>
    </row>
    <row r="28" spans="1:19" ht="77.25">
      <c r="A28" s="1">
        <f ca="1">OFFSET(A27,-1,0)+1</f>
        <v>20</v>
      </c>
      <c r="B28" s="1">
        <v>12001</v>
      </c>
      <c r="C28" s="1" t="s">
        <v>118</v>
      </c>
      <c r="D28" s="44" t="s">
        <v>54</v>
      </c>
      <c r="E28" s="44" t="s">
        <v>89</v>
      </c>
      <c r="F28" s="3">
        <f>32820+31238</f>
        <v>64058</v>
      </c>
      <c r="G28" s="3"/>
      <c r="H28" s="3">
        <f>ROUND($F28*0.04,-2)</f>
        <v>2600</v>
      </c>
      <c r="I28" s="3">
        <f>ROUND($F28*0.05,-2)</f>
        <v>3200</v>
      </c>
      <c r="J28" s="24" t="s">
        <v>119</v>
      </c>
      <c r="K28" s="7" t="s">
        <v>120</v>
      </c>
      <c r="L28" s="2" t="s">
        <v>121</v>
      </c>
      <c r="M28" s="2" t="s">
        <v>122</v>
      </c>
      <c r="N28" s="2"/>
      <c r="O28" s="2"/>
      <c r="P28" s="26" t="s">
        <v>42</v>
      </c>
      <c r="S28" s="38" t="s">
        <v>31</v>
      </c>
    </row>
    <row r="29" spans="1:19" ht="15" customHeight="1">
      <c r="A29" s="53" t="s">
        <v>123</v>
      </c>
      <c r="B29" s="53"/>
      <c r="C29" s="53"/>
      <c r="D29" s="53"/>
      <c r="E29" s="53"/>
      <c r="F29" s="53"/>
      <c r="G29" s="53"/>
      <c r="H29" s="53"/>
      <c r="I29" s="53"/>
      <c r="J29" s="53"/>
      <c r="K29" s="53"/>
      <c r="L29" s="53"/>
      <c r="M29" s="53"/>
      <c r="N29" s="53"/>
      <c r="O29" s="53"/>
      <c r="P29" s="53"/>
      <c r="Q29" s="53"/>
      <c r="R29" s="53"/>
    </row>
    <row r="30" spans="1:19" ht="15" customHeight="1">
      <c r="A30" s="49" t="s">
        <v>124</v>
      </c>
      <c r="B30" s="49"/>
      <c r="C30" s="49"/>
      <c r="D30" s="49"/>
      <c r="E30" s="49"/>
      <c r="F30" s="49"/>
      <c r="G30" s="49"/>
      <c r="H30" s="49"/>
      <c r="I30" s="49"/>
      <c r="J30" s="49"/>
      <c r="K30" s="49"/>
      <c r="L30" s="49"/>
      <c r="M30" s="49"/>
      <c r="N30" s="49"/>
      <c r="O30" s="49"/>
      <c r="P30" s="49"/>
      <c r="Q30" s="49"/>
      <c r="R30" s="49"/>
    </row>
    <row r="31" spans="1:19" ht="102.75">
      <c r="A31" s="1">
        <f ca="1">OFFSET(A29,-1,0)+1</f>
        <v>21</v>
      </c>
      <c r="B31" s="1">
        <v>13101</v>
      </c>
      <c r="C31" s="1" t="s">
        <v>125</v>
      </c>
      <c r="D31" s="44" t="s">
        <v>54</v>
      </c>
      <c r="E31" s="44" t="s">
        <v>89</v>
      </c>
      <c r="F31" s="3">
        <v>51062</v>
      </c>
      <c r="G31" s="3"/>
      <c r="H31" s="3">
        <f>ROUND(F31*0.011,-1)</f>
        <v>560</v>
      </c>
      <c r="I31" s="3">
        <f>ROUND(F31*0.034,-2)</f>
        <v>1700</v>
      </c>
      <c r="J31" s="23" t="s">
        <v>126</v>
      </c>
      <c r="K31" s="6" t="s">
        <v>127</v>
      </c>
      <c r="L31" s="2" t="s">
        <v>128</v>
      </c>
      <c r="M31" s="2" t="s">
        <v>129</v>
      </c>
      <c r="N31" s="2" t="s">
        <v>130</v>
      </c>
      <c r="O31" s="2" t="s">
        <v>131</v>
      </c>
      <c r="P31" s="26" t="s">
        <v>30</v>
      </c>
      <c r="Q31" s="26" t="s">
        <v>29</v>
      </c>
      <c r="R31" s="26" t="s">
        <v>132</v>
      </c>
      <c r="S31" s="38" t="s">
        <v>31</v>
      </c>
    </row>
    <row r="32" spans="1:19" ht="90">
      <c r="A32" s="1">
        <f ca="1">A31+1</f>
        <v>22</v>
      </c>
      <c r="B32" s="1">
        <v>13102</v>
      </c>
      <c r="C32" s="1" t="s">
        <v>133</v>
      </c>
      <c r="D32" s="44" t="s">
        <v>54</v>
      </c>
      <c r="E32" s="44" t="s">
        <v>89</v>
      </c>
      <c r="F32" s="3">
        <v>13962</v>
      </c>
      <c r="G32" s="3"/>
      <c r="H32" s="3">
        <f>ROUND(F32*0.011,-1)</f>
        <v>150</v>
      </c>
      <c r="I32" s="3">
        <f>ROUND(F32*0.034,-2)</f>
        <v>500</v>
      </c>
      <c r="J32" s="23" t="s">
        <v>126</v>
      </c>
      <c r="K32" s="6" t="s">
        <v>134</v>
      </c>
      <c r="L32" s="2" t="s">
        <v>135</v>
      </c>
      <c r="M32" s="2" t="s">
        <v>129</v>
      </c>
      <c r="N32" s="2" t="s">
        <v>130</v>
      </c>
      <c r="O32" s="2" t="s">
        <v>131</v>
      </c>
      <c r="P32" s="26" t="s">
        <v>30</v>
      </c>
      <c r="Q32" s="26" t="s">
        <v>29</v>
      </c>
      <c r="R32" s="26" t="s">
        <v>132</v>
      </c>
      <c r="S32" s="38" t="s">
        <v>31</v>
      </c>
    </row>
    <row r="33" spans="1:19" ht="90">
      <c r="A33" s="1">
        <f t="shared" ref="A33:A34" ca="1" si="1">A32+1</f>
        <v>23</v>
      </c>
      <c r="B33" s="1">
        <v>13103</v>
      </c>
      <c r="C33" s="1" t="s">
        <v>136</v>
      </c>
      <c r="D33" s="44" t="s">
        <v>54</v>
      </c>
      <c r="E33" s="44" t="s">
        <v>137</v>
      </c>
      <c r="F33" s="17" t="s">
        <v>138</v>
      </c>
      <c r="G33" s="3"/>
      <c r="H33" s="3"/>
      <c r="I33" s="3"/>
      <c r="J33" s="23"/>
      <c r="K33" s="6" t="s">
        <v>139</v>
      </c>
      <c r="L33" s="2" t="s">
        <v>140</v>
      </c>
      <c r="M33" s="2" t="s">
        <v>129</v>
      </c>
      <c r="N33" s="2" t="s">
        <v>130</v>
      </c>
      <c r="O33" s="2" t="s">
        <v>141</v>
      </c>
      <c r="P33" s="26" t="s">
        <v>30</v>
      </c>
      <c r="Q33" s="26" t="s">
        <v>29</v>
      </c>
      <c r="R33" s="26" t="s">
        <v>142</v>
      </c>
      <c r="S33" s="38" t="s">
        <v>31</v>
      </c>
    </row>
    <row r="34" spans="1:19" ht="90">
      <c r="A34" s="1">
        <f t="shared" ca="1" si="1"/>
        <v>24</v>
      </c>
      <c r="B34" s="1">
        <v>13104</v>
      </c>
      <c r="C34" s="1" t="s">
        <v>143</v>
      </c>
      <c r="D34" s="44" t="s">
        <v>54</v>
      </c>
      <c r="E34" s="44" t="s">
        <v>89</v>
      </c>
      <c r="F34" s="3">
        <v>3229</v>
      </c>
      <c r="G34" s="3"/>
      <c r="H34" s="3">
        <f>ROUND(F34*0.011,-1)</f>
        <v>40</v>
      </c>
      <c r="I34" s="3">
        <f>ROUND(F34*0.031,-1)</f>
        <v>100</v>
      </c>
      <c r="J34" s="23" t="s">
        <v>144</v>
      </c>
      <c r="K34" s="6" t="s">
        <v>145</v>
      </c>
      <c r="L34" s="2" t="s">
        <v>146</v>
      </c>
      <c r="M34" s="2" t="s">
        <v>129</v>
      </c>
      <c r="N34" s="2" t="s">
        <v>130</v>
      </c>
      <c r="O34" s="2" t="s">
        <v>147</v>
      </c>
      <c r="P34" s="26" t="s">
        <v>30</v>
      </c>
      <c r="Q34" s="26" t="s">
        <v>29</v>
      </c>
      <c r="R34" s="26" t="s">
        <v>132</v>
      </c>
      <c r="S34" s="38" t="s">
        <v>31</v>
      </c>
    </row>
    <row r="35" spans="1:19" ht="77.25">
      <c r="A35" s="1">
        <f t="shared" ref="A35" ca="1" si="2">A34+1</f>
        <v>25</v>
      </c>
      <c r="B35" s="1">
        <v>13105</v>
      </c>
      <c r="C35" s="1" t="s">
        <v>148</v>
      </c>
      <c r="D35" s="44" t="s">
        <v>54</v>
      </c>
      <c r="E35" s="44" t="s">
        <v>89</v>
      </c>
      <c r="F35" s="3">
        <v>30001</v>
      </c>
      <c r="G35" s="3"/>
      <c r="H35" s="3">
        <f>ROUND(F35*0.041,-2)</f>
        <v>1200</v>
      </c>
      <c r="I35" s="3">
        <f>ROUND(F35*0.064,-2)</f>
        <v>1900</v>
      </c>
      <c r="J35" s="23" t="s">
        <v>149</v>
      </c>
      <c r="K35" s="6" t="s">
        <v>150</v>
      </c>
      <c r="L35" s="2" t="s">
        <v>151</v>
      </c>
      <c r="M35" s="2" t="s">
        <v>129</v>
      </c>
      <c r="N35" s="2" t="s">
        <v>130</v>
      </c>
      <c r="O35" s="2" t="s">
        <v>152</v>
      </c>
      <c r="P35" s="26" t="s">
        <v>30</v>
      </c>
      <c r="Q35" s="26" t="s">
        <v>29</v>
      </c>
      <c r="R35" s="26" t="s">
        <v>132</v>
      </c>
      <c r="S35" s="38" t="s">
        <v>31</v>
      </c>
    </row>
    <row r="36" spans="1:19" ht="90">
      <c r="A36" s="1">
        <f ca="1">OFFSET(A36,-1,0)+1</f>
        <v>26</v>
      </c>
      <c r="B36">
        <v>13701</v>
      </c>
      <c r="C36" s="1" t="s">
        <v>153</v>
      </c>
      <c r="D36" s="44" t="s">
        <v>54</v>
      </c>
      <c r="E36" s="44" t="s">
        <v>89</v>
      </c>
      <c r="F36" s="3">
        <v>11204</v>
      </c>
      <c r="G36" s="3"/>
      <c r="H36" s="3">
        <f>ROUND(F36*0.011,-1)</f>
        <v>120</v>
      </c>
      <c r="I36" s="3">
        <f>ROUND(F36*0.034,-2)</f>
        <v>400</v>
      </c>
      <c r="J36" s="23" t="s">
        <v>126</v>
      </c>
      <c r="K36" s="6" t="s">
        <v>154</v>
      </c>
      <c r="L36" s="2" t="s">
        <v>155</v>
      </c>
      <c r="M36" s="2" t="s">
        <v>129</v>
      </c>
      <c r="N36" s="2" t="s">
        <v>130</v>
      </c>
      <c r="O36" s="2" t="s">
        <v>131</v>
      </c>
      <c r="P36" s="26" t="s">
        <v>30</v>
      </c>
      <c r="Q36" s="26" t="s">
        <v>29</v>
      </c>
      <c r="R36" s="26" t="s">
        <v>132</v>
      </c>
      <c r="S36" s="38" t="s">
        <v>31</v>
      </c>
    </row>
    <row r="37" spans="1:19" ht="102.75">
      <c r="A37" s="1">
        <f ca="1">OFFSET(A37,-1,0)+1</f>
        <v>27</v>
      </c>
      <c r="B37">
        <v>13702</v>
      </c>
      <c r="C37" s="1" t="s">
        <v>156</v>
      </c>
      <c r="D37" s="44" t="s">
        <v>54</v>
      </c>
      <c r="E37" s="44" t="s">
        <v>89</v>
      </c>
      <c r="F37" s="3">
        <v>50858</v>
      </c>
      <c r="G37" s="3"/>
      <c r="H37" s="3">
        <f>ROUND(F37*0.011,-1)</f>
        <v>560</v>
      </c>
      <c r="I37" s="3">
        <f>ROUND(F37*0.034,-2)</f>
        <v>1700</v>
      </c>
      <c r="J37" s="23" t="s">
        <v>126</v>
      </c>
      <c r="K37" s="6" t="s">
        <v>154</v>
      </c>
      <c r="L37" s="2" t="s">
        <v>157</v>
      </c>
      <c r="M37" s="2" t="s">
        <v>129</v>
      </c>
      <c r="N37" s="2" t="s">
        <v>130</v>
      </c>
      <c r="O37" s="2" t="s">
        <v>131</v>
      </c>
      <c r="P37" s="26" t="s">
        <v>30</v>
      </c>
      <c r="Q37" s="26" t="s">
        <v>29</v>
      </c>
      <c r="R37" s="26" t="s">
        <v>132</v>
      </c>
      <c r="S37" s="38" t="s">
        <v>31</v>
      </c>
    </row>
    <row r="38" spans="1:19" ht="90">
      <c r="A38" s="1">
        <f ca="1">OFFSET(A38,-1,0)+1</f>
        <v>28</v>
      </c>
      <c r="B38">
        <v>13703</v>
      </c>
      <c r="C38" s="1" t="s">
        <v>158</v>
      </c>
      <c r="D38" s="44" t="s">
        <v>54</v>
      </c>
      <c r="E38" s="44" t="s">
        <v>89</v>
      </c>
      <c r="F38" s="3">
        <v>624</v>
      </c>
      <c r="G38" s="3"/>
      <c r="H38" s="3">
        <f>ROUND(F38*0.011,0)</f>
        <v>7</v>
      </c>
      <c r="I38" s="3">
        <f>ROUND(F38*0.034,0)</f>
        <v>21</v>
      </c>
      <c r="J38" s="23" t="s">
        <v>126</v>
      </c>
      <c r="K38" s="6" t="s">
        <v>95</v>
      </c>
      <c r="L38" s="2" t="s">
        <v>159</v>
      </c>
      <c r="M38" s="2" t="s">
        <v>129</v>
      </c>
      <c r="N38" s="2" t="s">
        <v>130</v>
      </c>
      <c r="O38" s="2" t="s">
        <v>160</v>
      </c>
      <c r="P38" s="26" t="s">
        <v>30</v>
      </c>
      <c r="Q38" s="26" t="s">
        <v>29</v>
      </c>
      <c r="R38" s="26" t="s">
        <v>132</v>
      </c>
      <c r="S38" s="38" t="s">
        <v>31</v>
      </c>
    </row>
    <row r="39" spans="1:19" ht="15" customHeight="1">
      <c r="A39" s="49" t="s">
        <v>161</v>
      </c>
      <c r="B39" s="49"/>
      <c r="C39" s="49"/>
      <c r="D39" s="49"/>
      <c r="E39" s="49"/>
      <c r="F39" s="49"/>
      <c r="G39" s="49"/>
      <c r="H39" s="49"/>
      <c r="I39" s="49"/>
      <c r="J39" s="49"/>
      <c r="K39" s="49"/>
      <c r="L39" s="49"/>
      <c r="M39" s="49"/>
      <c r="N39" s="49"/>
      <c r="O39" s="49"/>
      <c r="P39" s="49"/>
      <c r="Q39" s="49"/>
      <c r="R39" s="49"/>
    </row>
    <row r="40" spans="1:19" ht="51.75">
      <c r="A40" s="1">
        <f ca="1">OFFSET(A39,-1,0)+1</f>
        <v>29</v>
      </c>
      <c r="B40" s="1">
        <v>13201</v>
      </c>
      <c r="C40" s="1" t="s">
        <v>162</v>
      </c>
      <c r="D40" s="44" t="s">
        <v>54</v>
      </c>
      <c r="E40" s="44" t="s">
        <v>89</v>
      </c>
      <c r="F40" s="3">
        <v>5571</v>
      </c>
      <c r="G40" s="3"/>
      <c r="H40" s="3">
        <f>ROUND(F40*0.01,-1)</f>
        <v>60</v>
      </c>
      <c r="I40" s="3">
        <f>ROUND(F40*0.03,-1)</f>
        <v>170</v>
      </c>
      <c r="J40" s="23" t="s">
        <v>163</v>
      </c>
      <c r="K40" s="6" t="s">
        <v>164</v>
      </c>
      <c r="L40" s="2" t="s">
        <v>165</v>
      </c>
      <c r="M40" s="2" t="s">
        <v>166</v>
      </c>
      <c r="N40" s="2" t="s">
        <v>24</v>
      </c>
      <c r="O40" s="2" t="s">
        <v>167</v>
      </c>
      <c r="P40" s="26" t="s">
        <v>30</v>
      </c>
      <c r="Q40" s="26" t="s">
        <v>29</v>
      </c>
      <c r="R40" s="27" t="s">
        <v>168</v>
      </c>
      <c r="S40" s="38" t="s">
        <v>31</v>
      </c>
    </row>
    <row r="41" spans="1:19" ht="39">
      <c r="A41" s="1">
        <f ca="1">A40+1</f>
        <v>30</v>
      </c>
      <c r="B41" s="1">
        <v>13202</v>
      </c>
      <c r="C41" s="1" t="s">
        <v>169</v>
      </c>
      <c r="D41" s="44" t="s">
        <v>54</v>
      </c>
      <c r="E41" s="44" t="s">
        <v>89</v>
      </c>
      <c r="F41" s="3">
        <v>54</v>
      </c>
      <c r="G41" s="3"/>
      <c r="H41" s="3">
        <f>ROUND(F41*0.01,-1)</f>
        <v>0</v>
      </c>
      <c r="I41" s="3">
        <v>1</v>
      </c>
      <c r="J41" s="23" t="s">
        <v>170</v>
      </c>
      <c r="K41" s="6" t="s">
        <v>164</v>
      </c>
      <c r="L41" s="2" t="s">
        <v>171</v>
      </c>
      <c r="M41" s="2" t="s">
        <v>166</v>
      </c>
      <c r="N41" s="2" t="s">
        <v>24</v>
      </c>
      <c r="O41" s="2" t="s">
        <v>167</v>
      </c>
      <c r="P41" s="26" t="s">
        <v>30</v>
      </c>
      <c r="Q41" s="26" t="s">
        <v>29</v>
      </c>
      <c r="R41" s="27" t="s">
        <v>168</v>
      </c>
      <c r="S41" s="38" t="s">
        <v>31</v>
      </c>
    </row>
    <row r="42" spans="1:19" ht="90">
      <c r="A42" s="1">
        <f t="shared" ref="A42:A43" ca="1" si="3">A41+1</f>
        <v>31</v>
      </c>
      <c r="B42" s="1">
        <v>13203</v>
      </c>
      <c r="C42" s="1" t="s">
        <v>172</v>
      </c>
      <c r="D42" s="44" t="s">
        <v>54</v>
      </c>
      <c r="E42" s="44" t="s">
        <v>89</v>
      </c>
      <c r="F42" s="3">
        <v>49</v>
      </c>
      <c r="G42" s="3"/>
      <c r="H42" s="3">
        <f>ROUND(F42*0.01,-1)</f>
        <v>0</v>
      </c>
      <c r="I42" s="3">
        <v>1</v>
      </c>
      <c r="J42" s="23" t="s">
        <v>173</v>
      </c>
      <c r="K42" s="6" t="s">
        <v>174</v>
      </c>
      <c r="L42" s="2" t="s">
        <v>175</v>
      </c>
      <c r="M42" s="2" t="s">
        <v>129</v>
      </c>
      <c r="N42" s="2" t="s">
        <v>24</v>
      </c>
      <c r="O42" s="2" t="s">
        <v>167</v>
      </c>
      <c r="P42" s="26" t="s">
        <v>30</v>
      </c>
      <c r="Q42" s="26" t="s">
        <v>29</v>
      </c>
      <c r="R42" s="27" t="s">
        <v>168</v>
      </c>
      <c r="S42" s="38" t="s">
        <v>31</v>
      </c>
    </row>
    <row r="43" spans="1:19" ht="115.5">
      <c r="A43" s="1">
        <f t="shared" ca="1" si="3"/>
        <v>32</v>
      </c>
      <c r="B43" s="1">
        <v>13204</v>
      </c>
      <c r="C43" s="1" t="s">
        <v>176</v>
      </c>
      <c r="D43" s="44" t="s">
        <v>54</v>
      </c>
      <c r="E43" s="44" t="s">
        <v>89</v>
      </c>
      <c r="F43" s="3">
        <v>13166</v>
      </c>
      <c r="G43" s="3"/>
      <c r="H43" s="3">
        <f>ROUND(F43*0.01,-1)</f>
        <v>130</v>
      </c>
      <c r="I43" s="3">
        <f>ROUND(F43*0.03,-1)</f>
        <v>390</v>
      </c>
      <c r="J43" s="23" t="s">
        <v>173</v>
      </c>
      <c r="K43" s="6" t="s">
        <v>177</v>
      </c>
      <c r="L43" s="2" t="s">
        <v>178</v>
      </c>
      <c r="M43" s="2" t="s">
        <v>129</v>
      </c>
      <c r="N43" s="2" t="s">
        <v>24</v>
      </c>
      <c r="O43" s="2" t="s">
        <v>167</v>
      </c>
      <c r="P43" s="26" t="s">
        <v>30</v>
      </c>
      <c r="Q43" s="26" t="s">
        <v>29</v>
      </c>
      <c r="R43" s="27" t="s">
        <v>168</v>
      </c>
      <c r="S43" s="38" t="s">
        <v>31</v>
      </c>
    </row>
    <row r="44" spans="1:19" ht="39">
      <c r="A44" s="1">
        <f ca="1">OFFSET(A44,-1,0)+1</f>
        <v>33</v>
      </c>
      <c r="B44">
        <v>13704</v>
      </c>
      <c r="C44" s="1" t="s">
        <v>179</v>
      </c>
      <c r="D44" s="44" t="s">
        <v>54</v>
      </c>
      <c r="E44" s="44" t="s">
        <v>89</v>
      </c>
      <c r="F44" s="3">
        <v>2946</v>
      </c>
      <c r="G44" s="3"/>
      <c r="H44" s="3">
        <f>ROUND(F44*0.01,-1)</f>
        <v>30</v>
      </c>
      <c r="I44" s="3">
        <f>ROUND(F44*0.03,-1)</f>
        <v>90</v>
      </c>
      <c r="J44" s="23" t="s">
        <v>170</v>
      </c>
      <c r="K44" s="6" t="s">
        <v>180</v>
      </c>
      <c r="L44" s="2" t="s">
        <v>181</v>
      </c>
      <c r="M44" s="2" t="s">
        <v>129</v>
      </c>
      <c r="N44" s="2" t="s">
        <v>24</v>
      </c>
      <c r="O44" s="2" t="s">
        <v>167</v>
      </c>
      <c r="P44" s="26" t="s">
        <v>30</v>
      </c>
      <c r="Q44" s="26" t="s">
        <v>29</v>
      </c>
      <c r="R44" s="27" t="s">
        <v>168</v>
      </c>
      <c r="S44" s="38" t="s">
        <v>31</v>
      </c>
    </row>
    <row r="45" spans="1:19" ht="15" customHeight="1">
      <c r="A45" s="49" t="s">
        <v>182</v>
      </c>
      <c r="B45" s="49"/>
      <c r="C45" s="49"/>
      <c r="D45" s="49"/>
      <c r="E45" s="49"/>
      <c r="F45" s="49"/>
      <c r="G45" s="49"/>
      <c r="H45" s="49"/>
      <c r="I45" s="49"/>
      <c r="J45" s="49"/>
      <c r="K45" s="49"/>
      <c r="L45" s="49"/>
      <c r="M45" s="49"/>
      <c r="N45" s="49"/>
      <c r="O45" s="49"/>
      <c r="P45" s="49"/>
      <c r="Q45" s="49"/>
      <c r="R45" s="49"/>
    </row>
    <row r="46" spans="1:19" ht="51.75">
      <c r="A46" s="1">
        <f ca="1">OFFSET(A45,-1,0)+1</f>
        <v>34</v>
      </c>
      <c r="B46">
        <v>13301</v>
      </c>
      <c r="C46" s="1" t="s">
        <v>183</v>
      </c>
      <c r="D46" s="44" t="s">
        <v>54</v>
      </c>
      <c r="E46" s="44" t="s">
        <v>89</v>
      </c>
      <c r="F46" s="3">
        <v>12451</v>
      </c>
      <c r="G46" s="3"/>
      <c r="H46" s="3">
        <f>ROUND($F46*0.02,-1)</f>
        <v>250</v>
      </c>
      <c r="I46" s="3">
        <f>ROUND($F46*0.04,-1)</f>
        <v>500</v>
      </c>
      <c r="J46" s="20" t="s">
        <v>55</v>
      </c>
      <c r="K46" s="6" t="s">
        <v>184</v>
      </c>
      <c r="L46" s="2" t="s">
        <v>185</v>
      </c>
      <c r="M46" s="2" t="s">
        <v>129</v>
      </c>
      <c r="N46" s="2" t="s">
        <v>186</v>
      </c>
      <c r="O46" s="2" t="s">
        <v>187</v>
      </c>
      <c r="P46" s="26" t="s">
        <v>30</v>
      </c>
      <c r="S46" s="38" t="s">
        <v>31</v>
      </c>
    </row>
    <row r="47" spans="1:19" ht="39">
      <c r="A47" s="1">
        <f ca="1">OFFSET(A47,-1,0)+1</f>
        <v>35</v>
      </c>
      <c r="B47">
        <v>13302</v>
      </c>
      <c r="C47" s="1" t="s">
        <v>188</v>
      </c>
      <c r="D47" s="44" t="s">
        <v>54</v>
      </c>
      <c r="E47" s="44" t="s">
        <v>89</v>
      </c>
      <c r="F47" s="3">
        <v>22022</v>
      </c>
      <c r="G47" s="3"/>
      <c r="H47" s="3">
        <f t="shared" ref="H47" si="4">ROUND($F47*0.02,-1)</f>
        <v>440</v>
      </c>
      <c r="I47" s="3">
        <f t="shared" ref="I47" si="5">ROUND($F47*0.04,-1)</f>
        <v>880</v>
      </c>
      <c r="J47" s="20" t="s">
        <v>55</v>
      </c>
      <c r="K47" s="6" t="s">
        <v>189</v>
      </c>
      <c r="L47" s="2" t="s">
        <v>190</v>
      </c>
      <c r="M47" s="2" t="s">
        <v>129</v>
      </c>
      <c r="N47" s="2" t="s">
        <v>186</v>
      </c>
      <c r="O47" s="2" t="s">
        <v>187</v>
      </c>
      <c r="P47" s="26" t="s">
        <v>30</v>
      </c>
      <c r="S47" s="38" t="s">
        <v>31</v>
      </c>
    </row>
    <row r="48" spans="1:19" ht="39">
      <c r="A48" s="1">
        <f t="shared" ref="A48:A49" ca="1" si="6">OFFSET(A48,-1,0)+1</f>
        <v>36</v>
      </c>
      <c r="B48">
        <v>13303</v>
      </c>
      <c r="C48" s="1" t="s">
        <v>191</v>
      </c>
      <c r="D48" s="44" t="s">
        <v>54</v>
      </c>
      <c r="E48" s="44" t="s">
        <v>89</v>
      </c>
      <c r="F48" s="3">
        <v>362</v>
      </c>
      <c r="G48" s="3"/>
      <c r="H48" s="3">
        <f>ROUND($F48*0.02,0)</f>
        <v>7</v>
      </c>
      <c r="I48" s="3">
        <f>ROUND($F48*0.04,0)</f>
        <v>14</v>
      </c>
      <c r="J48" s="20" t="s">
        <v>55</v>
      </c>
      <c r="K48" s="6" t="s">
        <v>25</v>
      </c>
      <c r="L48" s="2" t="s">
        <v>192</v>
      </c>
      <c r="M48" s="2" t="s">
        <v>129</v>
      </c>
      <c r="N48" s="2" t="s">
        <v>186</v>
      </c>
      <c r="O48" s="2" t="s">
        <v>193</v>
      </c>
      <c r="P48" s="26" t="s">
        <v>30</v>
      </c>
      <c r="S48" s="38" t="s">
        <v>31</v>
      </c>
    </row>
    <row r="49" spans="1:19" ht="45">
      <c r="A49" s="1">
        <f t="shared" ca="1" si="6"/>
        <v>37</v>
      </c>
      <c r="B49">
        <v>13304</v>
      </c>
      <c r="C49" s="1" t="s">
        <v>194</v>
      </c>
      <c r="D49" s="44" t="s">
        <v>54</v>
      </c>
      <c r="E49" s="44" t="s">
        <v>89</v>
      </c>
      <c r="F49" s="3">
        <v>2043</v>
      </c>
      <c r="G49" s="3"/>
      <c r="H49" s="3">
        <f>ROUND($F49*0.02,0)</f>
        <v>41</v>
      </c>
      <c r="I49" s="3">
        <f>ROUND($F49*0.04,0)</f>
        <v>82</v>
      </c>
      <c r="J49" s="20" t="s">
        <v>55</v>
      </c>
      <c r="K49" s="6" t="s">
        <v>184</v>
      </c>
      <c r="L49" s="2" t="s">
        <v>195</v>
      </c>
      <c r="M49" s="2" t="s">
        <v>196</v>
      </c>
      <c r="N49" s="2" t="s">
        <v>186</v>
      </c>
      <c r="O49" s="2" t="s">
        <v>197</v>
      </c>
      <c r="P49" s="26" t="s">
        <v>30</v>
      </c>
      <c r="S49" s="38" t="s">
        <v>31</v>
      </c>
    </row>
    <row r="50" spans="1:19" ht="15" customHeight="1">
      <c r="A50" s="49" t="s">
        <v>198</v>
      </c>
      <c r="B50" s="49"/>
      <c r="C50" s="49"/>
      <c r="D50" s="49"/>
      <c r="E50" s="49"/>
      <c r="F50" s="49"/>
      <c r="G50" s="49"/>
      <c r="H50" s="49"/>
      <c r="I50" s="49"/>
      <c r="J50" s="49"/>
      <c r="K50" s="49"/>
      <c r="L50" s="49"/>
      <c r="M50" s="49"/>
      <c r="N50" s="49"/>
      <c r="O50" s="49"/>
      <c r="P50" s="49"/>
      <c r="Q50" s="49"/>
      <c r="R50" s="49"/>
    </row>
    <row r="51" spans="1:19" ht="115.5">
      <c r="A51" s="1">
        <f ca="1">OFFSET(A50,-1,0)+1</f>
        <v>38</v>
      </c>
      <c r="B51" s="1">
        <v>13401</v>
      </c>
      <c r="C51" s="1" t="s">
        <v>199</v>
      </c>
      <c r="D51" s="44" t="s">
        <v>54</v>
      </c>
      <c r="E51" s="44" t="s">
        <v>89</v>
      </c>
      <c r="F51" s="3">
        <v>7541</v>
      </c>
      <c r="G51" s="3"/>
      <c r="H51" s="3">
        <f>ROUND(F51*0.02,-1)</f>
        <v>150</v>
      </c>
      <c r="I51" s="3">
        <f>ROUND(F51*0.04,-1)</f>
        <v>300</v>
      </c>
      <c r="J51" s="23" t="s">
        <v>200</v>
      </c>
      <c r="K51" s="6" t="s">
        <v>201</v>
      </c>
      <c r="L51" s="2" t="s">
        <v>202</v>
      </c>
      <c r="M51" s="2" t="s">
        <v>203</v>
      </c>
      <c r="N51" s="2" t="s">
        <v>204</v>
      </c>
      <c r="O51" s="2" t="s">
        <v>205</v>
      </c>
      <c r="P51" s="26" t="s">
        <v>30</v>
      </c>
      <c r="Q51" s="26" t="s">
        <v>29</v>
      </c>
      <c r="S51" s="38" t="s">
        <v>31</v>
      </c>
    </row>
    <row r="52" spans="1:19" ht="90">
      <c r="A52" s="1">
        <f ca="1">A51+1</f>
        <v>39</v>
      </c>
      <c r="B52" s="1">
        <v>13402</v>
      </c>
      <c r="C52" s="1" t="s">
        <v>206</v>
      </c>
      <c r="D52" s="44" t="s">
        <v>54</v>
      </c>
      <c r="E52" s="44" t="s">
        <v>89</v>
      </c>
      <c r="F52" s="3">
        <v>1347</v>
      </c>
      <c r="G52" s="3"/>
      <c r="H52" s="3">
        <f>ROUND(F52*0.02,-1)</f>
        <v>30</v>
      </c>
      <c r="I52" s="3">
        <f>ROUND(F52*0.04,-1)</f>
        <v>50</v>
      </c>
      <c r="J52" s="23" t="s">
        <v>200</v>
      </c>
      <c r="K52" s="6" t="s">
        <v>201</v>
      </c>
      <c r="L52" s="2" t="s">
        <v>207</v>
      </c>
      <c r="M52" s="2" t="s">
        <v>203</v>
      </c>
      <c r="N52" s="2" t="s">
        <v>204</v>
      </c>
      <c r="O52" s="2" t="s">
        <v>208</v>
      </c>
      <c r="P52" s="26" t="s">
        <v>30</v>
      </c>
      <c r="Q52" s="26" t="s">
        <v>29</v>
      </c>
      <c r="S52" s="38" t="s">
        <v>31</v>
      </c>
    </row>
    <row r="53" spans="1:19" ht="77.25">
      <c r="A53" s="1">
        <f ca="1">A52+1</f>
        <v>40</v>
      </c>
      <c r="B53" s="1">
        <v>13403</v>
      </c>
      <c r="C53" s="1" t="s">
        <v>209</v>
      </c>
      <c r="D53" s="44" t="s">
        <v>54</v>
      </c>
      <c r="E53" s="44" t="s">
        <v>89</v>
      </c>
      <c r="F53" s="3">
        <v>3583</v>
      </c>
      <c r="G53" s="3"/>
      <c r="H53" s="3">
        <f>ROUND(F53*0.02,-1)</f>
        <v>70</v>
      </c>
      <c r="I53" s="3">
        <f>ROUND(F53*0.04,-1)</f>
        <v>140</v>
      </c>
      <c r="J53" s="23" t="s">
        <v>200</v>
      </c>
      <c r="K53" s="6" t="s">
        <v>201</v>
      </c>
      <c r="L53" s="2" t="s">
        <v>210</v>
      </c>
      <c r="M53" s="2" t="s">
        <v>203</v>
      </c>
      <c r="N53" s="2" t="s">
        <v>204</v>
      </c>
      <c r="O53" s="2" t="s">
        <v>211</v>
      </c>
      <c r="P53" s="26" t="s">
        <v>30</v>
      </c>
      <c r="Q53" s="26" t="s">
        <v>29</v>
      </c>
      <c r="R53" s="26" t="s">
        <v>57</v>
      </c>
      <c r="S53" s="38" t="s">
        <v>31</v>
      </c>
    </row>
    <row r="54" spans="1:19" ht="64.5">
      <c r="A54" s="1">
        <f ca="1">A53+1</f>
        <v>41</v>
      </c>
      <c r="B54" s="1">
        <v>13404</v>
      </c>
      <c r="C54" s="1" t="s">
        <v>212</v>
      </c>
      <c r="D54" s="44" t="s">
        <v>54</v>
      </c>
      <c r="E54" s="44" t="s">
        <v>89</v>
      </c>
      <c r="F54" s="3">
        <v>1738</v>
      </c>
      <c r="G54" s="3"/>
      <c r="H54" s="3">
        <f>ROUND(F54*0.02,-1)</f>
        <v>30</v>
      </c>
      <c r="I54" s="3">
        <f>ROUND(F54*0.04,-1)</f>
        <v>70</v>
      </c>
      <c r="J54" s="23" t="s">
        <v>200</v>
      </c>
      <c r="K54" s="6" t="s">
        <v>213</v>
      </c>
      <c r="L54" s="2" t="s">
        <v>214</v>
      </c>
      <c r="M54" s="2" t="s">
        <v>203</v>
      </c>
      <c r="N54" s="2" t="s">
        <v>204</v>
      </c>
      <c r="O54" s="2" t="s">
        <v>215</v>
      </c>
      <c r="P54" s="26" t="s">
        <v>30</v>
      </c>
      <c r="Q54" s="26" t="s">
        <v>29</v>
      </c>
      <c r="S54" s="38" t="s">
        <v>31</v>
      </c>
    </row>
    <row r="55" spans="1:19" ht="15" customHeight="1">
      <c r="A55" s="49" t="s">
        <v>216</v>
      </c>
      <c r="B55" s="49"/>
      <c r="C55" s="49"/>
      <c r="D55" s="49"/>
      <c r="E55" s="49"/>
      <c r="F55" s="49"/>
      <c r="G55" s="49"/>
      <c r="H55" s="49"/>
      <c r="I55" s="49"/>
      <c r="J55" s="49"/>
      <c r="K55" s="49"/>
      <c r="L55" s="49"/>
      <c r="M55" s="49"/>
      <c r="N55" s="49"/>
      <c r="O55" s="49"/>
      <c r="P55" s="49"/>
      <c r="Q55" s="49"/>
      <c r="R55" s="49"/>
    </row>
    <row r="56" spans="1:19" ht="51.75">
      <c r="A56" s="1">
        <f ca="1">OFFSET(A55,-1,0)+1</f>
        <v>42</v>
      </c>
      <c r="B56" s="1">
        <v>13501</v>
      </c>
      <c r="C56" s="1" t="s">
        <v>217</v>
      </c>
      <c r="D56" s="44" t="s">
        <v>54</v>
      </c>
      <c r="E56" s="44" t="s">
        <v>137</v>
      </c>
      <c r="F56" s="3">
        <v>6255</v>
      </c>
      <c r="G56" s="3"/>
      <c r="H56" s="3">
        <f>ROUND(F56*0.02,-1)</f>
        <v>130</v>
      </c>
      <c r="I56" s="3">
        <f>ROUND(F56*0.04,0)</f>
        <v>250</v>
      </c>
      <c r="J56" s="20" t="s">
        <v>55</v>
      </c>
      <c r="K56" s="6" t="s">
        <v>218</v>
      </c>
      <c r="L56" s="2" t="s">
        <v>219</v>
      </c>
      <c r="M56" s="2" t="s">
        <v>129</v>
      </c>
      <c r="N56" s="2" t="s">
        <v>220</v>
      </c>
      <c r="O56" s="2"/>
      <c r="P56" s="26" t="s">
        <v>30</v>
      </c>
      <c r="Q56" s="27" t="s">
        <v>42</v>
      </c>
      <c r="S56" s="38" t="s">
        <v>31</v>
      </c>
    </row>
    <row r="57" spans="1:19" ht="39">
      <c r="A57" s="1">
        <f ca="1">A56+1</f>
        <v>43</v>
      </c>
      <c r="B57" s="1">
        <v>13502</v>
      </c>
      <c r="C57" s="1" t="s">
        <v>221</v>
      </c>
      <c r="D57" s="44" t="s">
        <v>54</v>
      </c>
      <c r="E57" s="44" t="s">
        <v>89</v>
      </c>
      <c r="F57" s="3">
        <v>30622</v>
      </c>
      <c r="G57" s="3"/>
      <c r="H57" s="3">
        <f>ROUND(F57*0.02,-1)</f>
        <v>610</v>
      </c>
      <c r="I57" s="3">
        <f>ROUND(F57*0.04,-2)</f>
        <v>1200</v>
      </c>
      <c r="J57" s="20" t="s">
        <v>55</v>
      </c>
      <c r="K57" s="6" t="s">
        <v>222</v>
      </c>
      <c r="L57" s="2" t="s">
        <v>223</v>
      </c>
      <c r="M57" s="2" t="s">
        <v>129</v>
      </c>
      <c r="N57" s="2" t="s">
        <v>224</v>
      </c>
      <c r="O57" s="2" t="s">
        <v>225</v>
      </c>
      <c r="P57" s="26" t="s">
        <v>30</v>
      </c>
      <c r="Q57" s="27" t="s">
        <v>42</v>
      </c>
      <c r="S57" s="38" t="s">
        <v>31</v>
      </c>
    </row>
    <row r="58" spans="1:19" ht="15" customHeight="1">
      <c r="A58" s="49" t="s">
        <v>226</v>
      </c>
      <c r="B58" s="49"/>
      <c r="C58" s="49"/>
      <c r="D58" s="49"/>
      <c r="E58" s="49"/>
      <c r="F58" s="49"/>
      <c r="G58" s="49"/>
      <c r="H58" s="49"/>
      <c r="I58" s="49"/>
      <c r="J58" s="49"/>
      <c r="K58" s="49"/>
      <c r="L58" s="49"/>
      <c r="M58" s="49"/>
      <c r="N58" s="49"/>
      <c r="O58" s="49"/>
      <c r="P58" s="49"/>
      <c r="Q58" s="49"/>
      <c r="R58" s="49"/>
    </row>
    <row r="59" spans="1:19" ht="90">
      <c r="A59" s="1">
        <f ca="1">OFFSET(A58,-1,0)+1</f>
        <v>44</v>
      </c>
      <c r="B59" s="1">
        <v>13601</v>
      </c>
      <c r="C59" s="1" t="s">
        <v>227</v>
      </c>
      <c r="D59" s="44" t="s">
        <v>36</v>
      </c>
      <c r="E59" s="44" t="s">
        <v>24</v>
      </c>
      <c r="F59" s="3">
        <v>10516</v>
      </c>
      <c r="G59" s="3">
        <v>-11719</v>
      </c>
      <c r="H59" s="3">
        <f>ROUND($F59*0.005,-1)</f>
        <v>50</v>
      </c>
      <c r="I59" s="3">
        <f>ROUND($F59*0.015,-1)</f>
        <v>160</v>
      </c>
      <c r="J59" s="24" t="s">
        <v>228</v>
      </c>
      <c r="K59" s="6" t="s">
        <v>201</v>
      </c>
      <c r="L59" s="2" t="s">
        <v>229</v>
      </c>
      <c r="M59" s="2" t="s">
        <v>230</v>
      </c>
      <c r="N59" s="2" t="s">
        <v>231</v>
      </c>
      <c r="O59" s="2" t="s">
        <v>232</v>
      </c>
      <c r="P59" s="26" t="s">
        <v>30</v>
      </c>
      <c r="Q59" s="27" t="s">
        <v>42</v>
      </c>
      <c r="R59" s="26" t="s">
        <v>233</v>
      </c>
      <c r="S59" s="38" t="s">
        <v>31</v>
      </c>
    </row>
    <row r="60" spans="1:19" ht="15" customHeight="1">
      <c r="A60" s="49" t="s">
        <v>234</v>
      </c>
      <c r="B60" s="49"/>
      <c r="C60" s="49"/>
      <c r="D60" s="49"/>
      <c r="E60" s="49"/>
      <c r="F60" s="49"/>
      <c r="G60" s="49"/>
      <c r="H60" s="49"/>
      <c r="I60" s="49"/>
      <c r="J60" s="49"/>
      <c r="K60" s="49"/>
      <c r="L60" s="49"/>
      <c r="M60" s="49"/>
      <c r="N60" s="49"/>
      <c r="O60" s="49"/>
      <c r="P60" s="49"/>
      <c r="Q60" s="49"/>
      <c r="R60" s="49"/>
    </row>
    <row r="61" spans="1:19" ht="77.25">
      <c r="A61" s="1">
        <f ca="1">OFFSET(A60,-1,0)+1</f>
        <v>45</v>
      </c>
      <c r="B61" s="1">
        <v>13801</v>
      </c>
      <c r="C61" s="1" t="s">
        <v>235</v>
      </c>
      <c r="D61" s="44" t="s">
        <v>54</v>
      </c>
      <c r="E61" s="44" t="s">
        <v>24</v>
      </c>
      <c r="F61" s="3" t="s">
        <v>236</v>
      </c>
      <c r="G61" s="3"/>
      <c r="H61" s="48" t="s">
        <v>236</v>
      </c>
      <c r="I61" s="48"/>
      <c r="J61" s="22"/>
      <c r="K61" s="6" t="s">
        <v>237</v>
      </c>
      <c r="L61" s="2" t="s">
        <v>238</v>
      </c>
      <c r="M61" s="2" t="s">
        <v>27</v>
      </c>
      <c r="N61" s="2" t="s">
        <v>24</v>
      </c>
      <c r="O61" s="2" t="s">
        <v>239</v>
      </c>
      <c r="P61" s="26" t="s">
        <v>29</v>
      </c>
      <c r="Q61" s="26" t="s">
        <v>30</v>
      </c>
      <c r="S61" s="38" t="s">
        <v>31</v>
      </c>
    </row>
    <row r="62" spans="1:19" ht="15" customHeight="1">
      <c r="A62" s="53" t="s">
        <v>240</v>
      </c>
      <c r="B62" s="53"/>
      <c r="C62" s="53"/>
      <c r="D62" s="53"/>
      <c r="E62" s="53"/>
      <c r="F62" s="53"/>
      <c r="G62" s="53"/>
      <c r="H62" s="53"/>
      <c r="I62" s="53"/>
      <c r="J62" s="53"/>
      <c r="K62" s="53"/>
      <c r="L62" s="53"/>
      <c r="M62" s="53"/>
      <c r="N62" s="53"/>
      <c r="O62" s="53"/>
      <c r="P62" s="53"/>
      <c r="Q62" s="53"/>
      <c r="R62" s="53"/>
    </row>
    <row r="63" spans="1:19" ht="15" customHeight="1">
      <c r="A63" s="49" t="s">
        <v>241</v>
      </c>
      <c r="B63" s="49"/>
      <c r="C63" s="49"/>
      <c r="D63" s="49"/>
      <c r="E63" s="49"/>
      <c r="F63" s="49"/>
      <c r="G63" s="49"/>
      <c r="H63" s="49"/>
      <c r="I63" s="49"/>
      <c r="J63" s="49"/>
      <c r="K63" s="49"/>
      <c r="L63" s="49"/>
      <c r="M63" s="49"/>
      <c r="N63" s="49"/>
      <c r="O63" s="49"/>
      <c r="P63" s="49"/>
      <c r="Q63" s="49"/>
      <c r="R63" s="49"/>
    </row>
    <row r="64" spans="1:19" ht="102.75">
      <c r="A64" s="1">
        <f ca="1">OFFSET(A62,-1,0)+1</f>
        <v>46</v>
      </c>
      <c r="B64" s="1">
        <v>21001</v>
      </c>
      <c r="C64" s="1" t="s">
        <v>242</v>
      </c>
      <c r="D64" s="44" t="s">
        <v>76</v>
      </c>
      <c r="E64" s="44" t="s">
        <v>243</v>
      </c>
      <c r="F64" s="3">
        <v>15314</v>
      </c>
      <c r="G64" s="3"/>
      <c r="H64" s="3">
        <f>ROUND(F64*0.01,-1)</f>
        <v>150</v>
      </c>
      <c r="I64" s="3">
        <f>ROUND(F64*0.03,-1)</f>
        <v>460</v>
      </c>
      <c r="J64" s="39" t="s">
        <v>244</v>
      </c>
      <c r="K64" s="6" t="s">
        <v>245</v>
      </c>
      <c r="L64" s="2" t="s">
        <v>246</v>
      </c>
      <c r="M64" s="2" t="s">
        <v>247</v>
      </c>
      <c r="N64" s="2" t="s">
        <v>248</v>
      </c>
      <c r="O64" s="2" t="s">
        <v>249</v>
      </c>
      <c r="P64" s="40" t="s">
        <v>42</v>
      </c>
      <c r="Q64" s="41" t="s">
        <v>30</v>
      </c>
      <c r="S64" s="38" t="s">
        <v>31</v>
      </c>
    </row>
    <row r="65" spans="1:19" ht="77.25">
      <c r="A65" s="1">
        <f ca="1">A64+1</f>
        <v>47</v>
      </c>
      <c r="B65" s="1">
        <v>21002</v>
      </c>
      <c r="C65" s="1" t="s">
        <v>250</v>
      </c>
      <c r="D65" s="44" t="s">
        <v>76</v>
      </c>
      <c r="E65" s="44" t="s">
        <v>251</v>
      </c>
      <c r="F65" s="3">
        <v>1400</v>
      </c>
      <c r="G65" s="3"/>
      <c r="H65" s="3">
        <f>F65*0.01</f>
        <v>14</v>
      </c>
      <c r="I65" s="3">
        <f>F65*0.03</f>
        <v>42</v>
      </c>
      <c r="J65" s="39" t="s">
        <v>244</v>
      </c>
      <c r="K65" s="6" t="s">
        <v>245</v>
      </c>
      <c r="L65" s="2" t="s">
        <v>252</v>
      </c>
      <c r="M65" s="2" t="s">
        <v>247</v>
      </c>
      <c r="N65" s="2" t="s">
        <v>253</v>
      </c>
      <c r="O65" s="2" t="s">
        <v>254</v>
      </c>
      <c r="P65" s="26" t="s">
        <v>42</v>
      </c>
      <c r="Q65" s="27" t="s">
        <v>30</v>
      </c>
      <c r="S65" s="38" t="s">
        <v>31</v>
      </c>
    </row>
    <row r="66" spans="1:19" ht="15" customHeight="1">
      <c r="A66" s="49" t="s">
        <v>255</v>
      </c>
      <c r="B66" s="49"/>
      <c r="C66" s="49"/>
      <c r="D66" s="49"/>
      <c r="E66" s="49"/>
      <c r="F66" s="49"/>
      <c r="G66" s="49"/>
      <c r="H66" s="49"/>
      <c r="I66" s="49"/>
      <c r="J66" s="49"/>
      <c r="K66" s="49"/>
      <c r="L66" s="49"/>
      <c r="M66" s="49"/>
      <c r="N66" s="49"/>
      <c r="O66" s="49"/>
      <c r="P66" s="49"/>
      <c r="Q66" s="49"/>
      <c r="R66" s="49"/>
    </row>
    <row r="67" spans="1:19" ht="77.25">
      <c r="A67" s="1">
        <f ca="1">OFFSET(A66,-1,0)+1</f>
        <v>48</v>
      </c>
      <c r="B67" s="1">
        <v>22001</v>
      </c>
      <c r="C67" s="1" t="s">
        <v>256</v>
      </c>
      <c r="D67" s="44" t="s">
        <v>257</v>
      </c>
      <c r="E67" s="44" t="s">
        <v>137</v>
      </c>
      <c r="F67" s="3">
        <v>1000</v>
      </c>
      <c r="G67" s="3"/>
      <c r="H67" s="3">
        <f>ROUND(F67*0.08,0)</f>
        <v>80</v>
      </c>
      <c r="I67" s="3">
        <f>ROUND(F67*0.16,-1)</f>
        <v>160</v>
      </c>
      <c r="J67" s="23" t="s">
        <v>258</v>
      </c>
      <c r="K67" s="6" t="s">
        <v>245</v>
      </c>
      <c r="L67" s="2" t="s">
        <v>259</v>
      </c>
      <c r="M67" s="2" t="s">
        <v>247</v>
      </c>
      <c r="N67" s="2" t="s">
        <v>260</v>
      </c>
      <c r="O67" s="2" t="s">
        <v>261</v>
      </c>
      <c r="P67" s="26" t="s">
        <v>42</v>
      </c>
      <c r="Q67" s="27" t="s">
        <v>30</v>
      </c>
      <c r="S67" s="38" t="s">
        <v>31</v>
      </c>
    </row>
    <row r="68" spans="1:19" ht="77.25">
      <c r="A68" s="1">
        <f ca="1">A67+1</f>
        <v>49</v>
      </c>
      <c r="B68" s="1">
        <v>22002</v>
      </c>
      <c r="C68" s="1" t="s">
        <v>262</v>
      </c>
      <c r="D68" s="44" t="s">
        <v>257</v>
      </c>
      <c r="E68" s="44" t="s">
        <v>137</v>
      </c>
      <c r="F68" s="3">
        <v>1977</v>
      </c>
      <c r="G68" s="3"/>
      <c r="H68" s="3">
        <f>ROUND(F68*0.08,-1)</f>
        <v>160</v>
      </c>
      <c r="I68" s="3">
        <f>ROUND(F68*0.16,-1)</f>
        <v>320</v>
      </c>
      <c r="J68" s="23" t="s">
        <v>258</v>
      </c>
      <c r="K68" s="6" t="s">
        <v>245</v>
      </c>
      <c r="L68" s="2" t="s">
        <v>263</v>
      </c>
      <c r="M68" s="2" t="s">
        <v>247</v>
      </c>
      <c r="N68" s="2" t="s">
        <v>264</v>
      </c>
      <c r="O68" s="2"/>
      <c r="P68" s="26" t="s">
        <v>42</v>
      </c>
      <c r="Q68" s="27" t="s">
        <v>30</v>
      </c>
      <c r="S68" s="38" t="s">
        <v>31</v>
      </c>
    </row>
    <row r="69" spans="1:19" ht="64.5">
      <c r="A69" s="1">
        <f ca="1">A68+1</f>
        <v>50</v>
      </c>
      <c r="B69" s="1">
        <v>22003</v>
      </c>
      <c r="C69" s="1" t="s">
        <v>265</v>
      </c>
      <c r="D69" s="44" t="s">
        <v>76</v>
      </c>
      <c r="E69" s="44" t="s">
        <v>137</v>
      </c>
      <c r="F69" s="3">
        <v>500</v>
      </c>
      <c r="G69" s="3"/>
      <c r="H69" s="3">
        <f>ROUND(F69*0.08,0)</f>
        <v>40</v>
      </c>
      <c r="I69" s="3">
        <f>ROUND(F69*0.16,0)</f>
        <v>80</v>
      </c>
      <c r="J69" s="23" t="s">
        <v>258</v>
      </c>
      <c r="K69" s="6" t="s">
        <v>245</v>
      </c>
      <c r="L69" s="2" t="s">
        <v>266</v>
      </c>
      <c r="M69" s="2" t="s">
        <v>267</v>
      </c>
      <c r="N69" s="2" t="s">
        <v>260</v>
      </c>
      <c r="O69" s="2" t="s">
        <v>268</v>
      </c>
      <c r="P69" s="26" t="s">
        <v>42</v>
      </c>
      <c r="Q69" s="27" t="s">
        <v>30</v>
      </c>
      <c r="S69" s="38" t="s">
        <v>31</v>
      </c>
    </row>
    <row r="70" spans="1:19" ht="102.75">
      <c r="A70" s="1">
        <f ca="1">A69+1</f>
        <v>51</v>
      </c>
      <c r="B70" s="1">
        <v>22004</v>
      </c>
      <c r="C70" s="1" t="s">
        <v>269</v>
      </c>
      <c r="D70" s="44" t="s">
        <v>257</v>
      </c>
      <c r="E70" s="44" t="s">
        <v>137</v>
      </c>
      <c r="F70" s="3">
        <v>9600</v>
      </c>
      <c r="G70" s="3"/>
      <c r="H70" s="3">
        <f>ROUND(F70*0.08,-1)</f>
        <v>770</v>
      </c>
      <c r="I70" s="3">
        <f>ROUND(F70*0.16,-2)</f>
        <v>1500</v>
      </c>
      <c r="J70" s="39" t="s">
        <v>258</v>
      </c>
      <c r="K70" s="6" t="s">
        <v>245</v>
      </c>
      <c r="L70" s="2" t="s">
        <v>270</v>
      </c>
      <c r="M70" s="2" t="s">
        <v>247</v>
      </c>
      <c r="N70" s="2" t="s">
        <v>271</v>
      </c>
      <c r="O70" s="2" t="s">
        <v>272</v>
      </c>
      <c r="P70" s="40" t="s">
        <v>42</v>
      </c>
      <c r="Q70" s="41" t="s">
        <v>30</v>
      </c>
      <c r="S70" s="38" t="s">
        <v>31</v>
      </c>
    </row>
    <row r="71" spans="1:19" ht="45">
      <c r="A71" s="1">
        <f ca="1">A70+1</f>
        <v>52</v>
      </c>
      <c r="B71" s="1">
        <v>22005</v>
      </c>
      <c r="C71" s="1" t="s">
        <v>273</v>
      </c>
      <c r="D71" s="44" t="s">
        <v>76</v>
      </c>
      <c r="E71" s="44" t="s">
        <v>24</v>
      </c>
      <c r="F71" s="3">
        <v>100</v>
      </c>
      <c r="G71" s="3"/>
      <c r="H71" s="51" t="s">
        <v>24</v>
      </c>
      <c r="I71" s="51"/>
      <c r="J71" s="22"/>
      <c r="K71" s="6" t="s">
        <v>245</v>
      </c>
      <c r="L71" s="2" t="s">
        <v>274</v>
      </c>
      <c r="M71" s="2" t="s">
        <v>247</v>
      </c>
      <c r="N71" s="2" t="s">
        <v>24</v>
      </c>
      <c r="O71" s="2"/>
      <c r="P71" s="26" t="s">
        <v>275</v>
      </c>
      <c r="S71" s="38" t="s">
        <v>31</v>
      </c>
    </row>
    <row r="72" spans="1:19" ht="77.25">
      <c r="A72" s="1">
        <f t="shared" ref="A72:A73" ca="1" si="7">A71+1</f>
        <v>53</v>
      </c>
      <c r="B72" s="1">
        <v>22006</v>
      </c>
      <c r="C72" s="1" t="s">
        <v>276</v>
      </c>
      <c r="D72" s="44" t="s">
        <v>76</v>
      </c>
      <c r="E72" s="44" t="s">
        <v>251</v>
      </c>
      <c r="F72" s="3">
        <v>3100</v>
      </c>
      <c r="G72" s="3"/>
      <c r="H72" s="3">
        <f>ROUND(F72*0.01,0)</f>
        <v>31</v>
      </c>
      <c r="I72" s="3">
        <f>ROUND(F72*0.04,-1)</f>
        <v>120</v>
      </c>
      <c r="J72" s="39" t="s">
        <v>277</v>
      </c>
      <c r="K72" s="6" t="s">
        <v>245</v>
      </c>
      <c r="L72" s="2" t="s">
        <v>278</v>
      </c>
      <c r="M72" s="2" t="s">
        <v>247</v>
      </c>
      <c r="N72" s="2" t="s">
        <v>279</v>
      </c>
      <c r="O72" s="2" t="s">
        <v>280</v>
      </c>
      <c r="P72" s="26" t="s">
        <v>275</v>
      </c>
      <c r="Q72" s="27" t="s">
        <v>30</v>
      </c>
      <c r="S72" s="38" t="s">
        <v>31</v>
      </c>
    </row>
    <row r="73" spans="1:19" ht="102.75">
      <c r="A73" s="1">
        <f t="shared" ca="1" si="7"/>
        <v>54</v>
      </c>
      <c r="B73" s="1">
        <v>22007</v>
      </c>
      <c r="C73" s="1" t="s">
        <v>281</v>
      </c>
      <c r="D73" s="45" t="s">
        <v>76</v>
      </c>
      <c r="E73" s="45" t="s">
        <v>251</v>
      </c>
      <c r="F73" s="3">
        <v>1929</v>
      </c>
      <c r="H73" s="3">
        <f>ROUND(F73*0.015,0)</f>
        <v>29</v>
      </c>
      <c r="I73" s="3">
        <f>ROUND(F73*0.03,0)</f>
        <v>58</v>
      </c>
      <c r="J73" s="39" t="s">
        <v>282</v>
      </c>
      <c r="K73" s="6" t="s">
        <v>245</v>
      </c>
      <c r="L73" s="2" t="s">
        <v>283</v>
      </c>
      <c r="M73" s="2" t="s">
        <v>247</v>
      </c>
      <c r="N73" s="2" t="s">
        <v>279</v>
      </c>
      <c r="O73" s="2" t="s">
        <v>284</v>
      </c>
      <c r="P73" s="26" t="s">
        <v>275</v>
      </c>
      <c r="S73" s="38" t="s">
        <v>31</v>
      </c>
    </row>
    <row r="74" spans="1:19" ht="51.75">
      <c r="A74" s="1">
        <f t="shared" ref="A74" ca="1" si="8">A73+1</f>
        <v>55</v>
      </c>
      <c r="B74" s="1">
        <v>22008</v>
      </c>
      <c r="C74" s="1" t="s">
        <v>285</v>
      </c>
      <c r="D74" s="44" t="s">
        <v>105</v>
      </c>
      <c r="E74" s="45" t="s">
        <v>24</v>
      </c>
      <c r="F74" s="3">
        <v>-5029</v>
      </c>
      <c r="L74" s="2" t="s">
        <v>286</v>
      </c>
      <c r="M74" s="2" t="s">
        <v>247</v>
      </c>
      <c r="P74" s="26" t="s">
        <v>275</v>
      </c>
      <c r="S74" s="38" t="s">
        <v>31</v>
      </c>
    </row>
    <row r="75" spans="1:19" ht="15" customHeight="1">
      <c r="A75" s="49" t="s">
        <v>287</v>
      </c>
      <c r="B75" s="49"/>
      <c r="C75" s="49"/>
      <c r="D75" s="49"/>
      <c r="E75" s="49"/>
      <c r="F75" s="49"/>
      <c r="G75" s="49"/>
      <c r="H75" s="49"/>
      <c r="I75" s="49"/>
      <c r="J75" s="49"/>
      <c r="K75" s="49"/>
      <c r="L75" s="49"/>
      <c r="M75" s="49"/>
      <c r="N75" s="49"/>
      <c r="O75" s="49"/>
      <c r="P75" s="49"/>
      <c r="Q75" s="49"/>
      <c r="R75" s="49"/>
    </row>
    <row r="76" spans="1:19" ht="72.75" customHeight="1">
      <c r="A76" s="1">
        <f ca="1">OFFSET(A75,-1,0)+1</f>
        <v>56</v>
      </c>
      <c r="B76" s="1">
        <v>23001</v>
      </c>
      <c r="C76" s="1" t="s">
        <v>288</v>
      </c>
      <c r="D76" s="44" t="s">
        <v>76</v>
      </c>
      <c r="E76" s="44" t="s">
        <v>24</v>
      </c>
      <c r="F76" s="3">
        <v>2145</v>
      </c>
      <c r="G76" s="3"/>
      <c r="H76" s="51" t="s">
        <v>24</v>
      </c>
      <c r="I76" s="51"/>
      <c r="K76" s="6" t="s">
        <v>38</v>
      </c>
      <c r="L76" s="2" t="s">
        <v>289</v>
      </c>
      <c r="M76" s="2" t="s">
        <v>290</v>
      </c>
      <c r="N76" s="2" t="s">
        <v>24</v>
      </c>
      <c r="O76" s="15" t="s">
        <v>291</v>
      </c>
      <c r="P76" s="26" t="s">
        <v>30</v>
      </c>
      <c r="Q76" s="26" t="s">
        <v>42</v>
      </c>
      <c r="S76" s="38" t="s">
        <v>31</v>
      </c>
    </row>
    <row r="77" spans="1:19" ht="111" customHeight="1">
      <c r="A77" s="1">
        <f ca="1">A76+1</f>
        <v>57</v>
      </c>
      <c r="B77" s="1">
        <v>23002</v>
      </c>
      <c r="C77" s="1" t="s">
        <v>292</v>
      </c>
      <c r="D77" s="44" t="s">
        <v>76</v>
      </c>
      <c r="E77" s="44" t="s">
        <v>137</v>
      </c>
      <c r="F77" s="3">
        <v>545</v>
      </c>
      <c r="G77" s="3"/>
      <c r="H77" s="3">
        <f>F77*0.02</f>
        <v>10.9</v>
      </c>
      <c r="I77" s="3">
        <f>F77*0.04</f>
        <v>21.8</v>
      </c>
      <c r="J77" s="20" t="s">
        <v>293</v>
      </c>
      <c r="K77" s="6" t="s">
        <v>38</v>
      </c>
      <c r="L77" s="2" t="s">
        <v>294</v>
      </c>
      <c r="M77" s="2" t="s">
        <v>295</v>
      </c>
      <c r="N77" s="2" t="s">
        <v>296</v>
      </c>
      <c r="O77" s="2" t="s">
        <v>291</v>
      </c>
      <c r="P77" s="26" t="s">
        <v>30</v>
      </c>
      <c r="Q77" s="26" t="s">
        <v>42</v>
      </c>
      <c r="R77" s="27" t="s">
        <v>297</v>
      </c>
      <c r="S77" s="38" t="s">
        <v>31</v>
      </c>
    </row>
    <row r="78" spans="1:19" ht="102.75" customHeight="1">
      <c r="A78" s="1">
        <f ca="1">A77+1</f>
        <v>58</v>
      </c>
      <c r="B78" s="1">
        <v>23003</v>
      </c>
      <c r="C78" s="1" t="s">
        <v>298</v>
      </c>
      <c r="D78" s="44" t="s">
        <v>76</v>
      </c>
      <c r="E78" s="44" t="s">
        <v>137</v>
      </c>
      <c r="F78" s="3">
        <v>2000</v>
      </c>
      <c r="G78" s="3"/>
      <c r="H78" s="3">
        <v>40</v>
      </c>
      <c r="I78" s="3">
        <v>80</v>
      </c>
      <c r="J78" s="20" t="s">
        <v>299</v>
      </c>
      <c r="K78" s="6" t="s">
        <v>38</v>
      </c>
      <c r="L78" s="2" t="s">
        <v>300</v>
      </c>
      <c r="M78" s="2" t="s">
        <v>295</v>
      </c>
      <c r="N78" s="2" t="s">
        <v>301</v>
      </c>
      <c r="O78" s="2" t="s">
        <v>302</v>
      </c>
      <c r="P78" s="26" t="s">
        <v>30</v>
      </c>
      <c r="Q78" s="26" t="s">
        <v>42</v>
      </c>
      <c r="R78" s="27" t="s">
        <v>303</v>
      </c>
      <c r="S78" s="38" t="s">
        <v>31</v>
      </c>
    </row>
    <row r="79" spans="1:19" ht="42" customHeight="1">
      <c r="A79" s="1">
        <f ca="1">A78+1</f>
        <v>59</v>
      </c>
      <c r="B79">
        <v>23005</v>
      </c>
      <c r="C79" t="s">
        <v>304</v>
      </c>
      <c r="D79" s="45" t="s">
        <v>76</v>
      </c>
      <c r="E79" s="45" t="s">
        <v>24</v>
      </c>
      <c r="F79" s="14">
        <v>100</v>
      </c>
      <c r="H79" s="51" t="s">
        <v>24</v>
      </c>
      <c r="I79" s="51"/>
      <c r="K79" s="6" t="s">
        <v>38</v>
      </c>
      <c r="L79" s="2" t="s">
        <v>305</v>
      </c>
      <c r="M79" s="2" t="s">
        <v>295</v>
      </c>
      <c r="N79" t="s">
        <v>24</v>
      </c>
      <c r="O79" t="s">
        <v>24</v>
      </c>
      <c r="P79" s="26" t="s">
        <v>42</v>
      </c>
      <c r="S79" s="38" t="s">
        <v>31</v>
      </c>
    </row>
    <row r="80" spans="1:19" ht="15" customHeight="1">
      <c r="A80" s="53" t="s">
        <v>306</v>
      </c>
      <c r="B80" s="53"/>
      <c r="C80" s="53"/>
      <c r="D80" s="53"/>
      <c r="E80" s="53"/>
      <c r="F80" s="53"/>
      <c r="G80" s="53"/>
      <c r="H80" s="53"/>
      <c r="I80" s="53"/>
      <c r="J80" s="53"/>
      <c r="K80" s="53"/>
      <c r="L80" s="53"/>
      <c r="M80" s="53"/>
      <c r="N80" s="53"/>
      <c r="O80" s="53"/>
      <c r="P80" s="53"/>
      <c r="Q80" s="53"/>
      <c r="R80" s="53"/>
    </row>
    <row r="81" spans="1:19" ht="64.5">
      <c r="A81" s="1">
        <f ca="1">OFFSET(A80,-1,0)+1</f>
        <v>60</v>
      </c>
      <c r="B81" s="1">
        <v>30001</v>
      </c>
      <c r="C81" s="1" t="s">
        <v>307</v>
      </c>
      <c r="D81" s="44" t="s">
        <v>76</v>
      </c>
      <c r="E81" s="44" t="s">
        <v>24</v>
      </c>
      <c r="F81" s="3">
        <v>475</v>
      </c>
      <c r="G81" s="3"/>
      <c r="H81" s="3">
        <v>0</v>
      </c>
      <c r="I81" s="3">
        <v>50</v>
      </c>
      <c r="J81" s="22" t="s">
        <v>308</v>
      </c>
      <c r="K81" s="6" t="s">
        <v>309</v>
      </c>
      <c r="L81" s="2" t="s">
        <v>310</v>
      </c>
      <c r="M81" s="2" t="s">
        <v>311</v>
      </c>
      <c r="N81" s="2" t="s">
        <v>312</v>
      </c>
      <c r="O81" s="2" t="s">
        <v>313</v>
      </c>
      <c r="P81" s="26" t="s">
        <v>42</v>
      </c>
      <c r="Q81" s="28" t="s">
        <v>52</v>
      </c>
      <c r="R81" s="29" t="s">
        <v>314</v>
      </c>
      <c r="S81" s="38" t="s">
        <v>31</v>
      </c>
    </row>
    <row r="82" spans="1:19" ht="64.5">
      <c r="A82" s="1">
        <f ca="1">A81+1</f>
        <v>61</v>
      </c>
      <c r="B82" s="1">
        <v>30002</v>
      </c>
      <c r="C82" s="1" t="s">
        <v>315</v>
      </c>
      <c r="D82" s="44" t="s">
        <v>76</v>
      </c>
      <c r="E82" s="44" t="s">
        <v>137</v>
      </c>
      <c r="F82" s="3">
        <v>990</v>
      </c>
      <c r="G82" s="3"/>
      <c r="H82" s="3">
        <f>ROUND(875*0.015,0)</f>
        <v>13</v>
      </c>
      <c r="I82" s="3">
        <f>ROUND(875*0.035,0)</f>
        <v>31</v>
      </c>
      <c r="J82" s="22" t="s">
        <v>316</v>
      </c>
      <c r="K82" s="6" t="s">
        <v>317</v>
      </c>
      <c r="L82" s="2" t="s">
        <v>318</v>
      </c>
      <c r="M82" s="2" t="s">
        <v>319</v>
      </c>
      <c r="N82" s="2" t="s">
        <v>320</v>
      </c>
      <c r="O82" s="2" t="s">
        <v>321</v>
      </c>
      <c r="P82" s="26" t="s">
        <v>322</v>
      </c>
      <c r="Q82" s="26" t="s">
        <v>42</v>
      </c>
      <c r="S82" s="38" t="s">
        <v>31</v>
      </c>
    </row>
    <row r="83" spans="1:19" ht="15" customHeight="1">
      <c r="A83" s="53" t="s">
        <v>323</v>
      </c>
      <c r="B83" s="53"/>
      <c r="C83" s="53"/>
      <c r="D83" s="53"/>
      <c r="E83" s="53"/>
      <c r="F83" s="53"/>
      <c r="G83" s="53"/>
      <c r="H83" s="53"/>
      <c r="I83" s="53"/>
      <c r="J83" s="53"/>
      <c r="K83" s="53"/>
      <c r="L83" s="53"/>
      <c r="M83" s="53"/>
      <c r="N83" s="53"/>
      <c r="O83" s="53"/>
      <c r="P83" s="53"/>
      <c r="Q83" s="53"/>
      <c r="R83" s="53"/>
    </row>
    <row r="84" spans="1:19" ht="115.5">
      <c r="A84" s="1">
        <f ca="1">OFFSET(A83,-1,0)+1</f>
        <v>62</v>
      </c>
      <c r="B84" s="1">
        <v>40001</v>
      </c>
      <c r="C84" s="1" t="s">
        <v>324</v>
      </c>
      <c r="D84" s="44" t="s">
        <v>76</v>
      </c>
      <c r="E84" s="44" t="s">
        <v>325</v>
      </c>
      <c r="F84" s="3">
        <v>2550</v>
      </c>
      <c r="G84" s="3"/>
      <c r="H84" s="3">
        <v>25</v>
      </c>
      <c r="I84" s="3">
        <v>76</v>
      </c>
      <c r="J84" s="20" t="s">
        <v>326</v>
      </c>
      <c r="K84" s="6" t="s">
        <v>327</v>
      </c>
      <c r="L84" s="2" t="s">
        <v>328</v>
      </c>
      <c r="M84" s="2" t="s">
        <v>329</v>
      </c>
      <c r="N84" s="2" t="s">
        <v>330</v>
      </c>
      <c r="O84" s="2" t="s">
        <v>331</v>
      </c>
      <c r="P84" s="26" t="s">
        <v>42</v>
      </c>
      <c r="Q84" s="26" t="s">
        <v>332</v>
      </c>
      <c r="R84" s="27" t="s">
        <v>333</v>
      </c>
      <c r="S84" s="38" t="s">
        <v>31</v>
      </c>
    </row>
    <row r="85" spans="1:19" ht="39">
      <c r="A85" s="1">
        <f t="shared" ref="A85:A90" ca="1" si="9">A84+1</f>
        <v>63</v>
      </c>
      <c r="B85" s="1">
        <v>40002</v>
      </c>
      <c r="C85" s="1" t="s">
        <v>334</v>
      </c>
      <c r="D85" s="44" t="s">
        <v>76</v>
      </c>
      <c r="E85" s="44" t="s">
        <v>24</v>
      </c>
      <c r="F85" s="3">
        <v>200</v>
      </c>
      <c r="G85" s="3"/>
      <c r="H85" s="51" t="s">
        <v>24</v>
      </c>
      <c r="I85" s="51"/>
      <c r="J85" s="22"/>
      <c r="K85" s="6" t="s">
        <v>327</v>
      </c>
      <c r="L85" s="2" t="s">
        <v>335</v>
      </c>
      <c r="M85" s="2" t="s">
        <v>329</v>
      </c>
      <c r="N85" s="2" t="s">
        <v>24</v>
      </c>
      <c r="O85" s="2" t="s">
        <v>291</v>
      </c>
      <c r="P85" s="26" t="s">
        <v>42</v>
      </c>
      <c r="Q85" s="26" t="s">
        <v>332</v>
      </c>
      <c r="S85" s="38" t="s">
        <v>31</v>
      </c>
    </row>
    <row r="86" spans="1:19" ht="51.75">
      <c r="A86" s="1">
        <f t="shared" ca="1" si="9"/>
        <v>64</v>
      </c>
      <c r="B86" s="1">
        <v>40003</v>
      </c>
      <c r="C86" s="1" t="s">
        <v>336</v>
      </c>
      <c r="D86" s="44" t="s">
        <v>76</v>
      </c>
      <c r="E86" s="44" t="s">
        <v>24</v>
      </c>
      <c r="F86" s="3">
        <v>20</v>
      </c>
      <c r="G86" s="3"/>
      <c r="H86" s="51" t="s">
        <v>24</v>
      </c>
      <c r="I86" s="51"/>
      <c r="J86" s="22"/>
      <c r="K86" s="6" t="s">
        <v>327</v>
      </c>
      <c r="L86" s="2" t="s">
        <v>337</v>
      </c>
      <c r="M86" s="2" t="s">
        <v>329</v>
      </c>
      <c r="N86" s="2" t="s">
        <v>24</v>
      </c>
      <c r="O86" s="2" t="s">
        <v>24</v>
      </c>
      <c r="P86" s="26" t="s">
        <v>42</v>
      </c>
      <c r="S86" s="38" t="s">
        <v>31</v>
      </c>
    </row>
    <row r="87" spans="1:19" ht="51.75">
      <c r="A87" s="1">
        <f t="shared" ca="1" si="9"/>
        <v>65</v>
      </c>
      <c r="B87">
        <v>40004</v>
      </c>
      <c r="C87" s="1" t="s">
        <v>338</v>
      </c>
      <c r="D87" s="44" t="s">
        <v>76</v>
      </c>
      <c r="E87" s="45" t="s">
        <v>137</v>
      </c>
      <c r="F87" s="14">
        <v>200</v>
      </c>
      <c r="H87" s="18">
        <v>4</v>
      </c>
      <c r="I87" s="18">
        <v>8</v>
      </c>
      <c r="J87" s="20" t="s">
        <v>339</v>
      </c>
      <c r="K87" s="6" t="s">
        <v>327</v>
      </c>
      <c r="L87" s="2" t="s">
        <v>340</v>
      </c>
      <c r="M87" s="15" t="s">
        <v>329</v>
      </c>
      <c r="N87" s="2" t="s">
        <v>341</v>
      </c>
      <c r="O87" s="15" t="s">
        <v>342</v>
      </c>
      <c r="P87" s="26" t="s">
        <v>42</v>
      </c>
      <c r="Q87" s="27" t="s">
        <v>343</v>
      </c>
      <c r="S87" s="38" t="s">
        <v>31</v>
      </c>
    </row>
    <row r="88" spans="1:19" ht="45">
      <c r="A88" s="1">
        <f t="shared" ca="1" si="9"/>
        <v>66</v>
      </c>
      <c r="B88" s="1">
        <v>40005</v>
      </c>
      <c r="C88" s="1" t="s">
        <v>344</v>
      </c>
      <c r="D88" s="44" t="s">
        <v>76</v>
      </c>
      <c r="E88" s="44" t="s">
        <v>24</v>
      </c>
      <c r="F88" s="3">
        <v>190</v>
      </c>
      <c r="G88" s="3"/>
      <c r="H88" s="51" t="s">
        <v>24</v>
      </c>
      <c r="I88" s="51"/>
      <c r="J88" s="22"/>
      <c r="K88" s="6" t="s">
        <v>327</v>
      </c>
      <c r="L88" s="2" t="s">
        <v>345</v>
      </c>
      <c r="M88" s="2" t="s">
        <v>329</v>
      </c>
      <c r="N88" s="2" t="s">
        <v>24</v>
      </c>
      <c r="O88" s="2" t="s">
        <v>24</v>
      </c>
      <c r="P88" s="26" t="s">
        <v>42</v>
      </c>
      <c r="S88" s="38" t="s">
        <v>31</v>
      </c>
    </row>
    <row r="89" spans="1:19" ht="30">
      <c r="A89" s="1">
        <f t="shared" ca="1" si="9"/>
        <v>67</v>
      </c>
      <c r="B89" s="1">
        <v>40006</v>
      </c>
      <c r="C89" s="1" t="s">
        <v>346</v>
      </c>
      <c r="D89" s="44" t="s">
        <v>76</v>
      </c>
      <c r="E89" s="44" t="s">
        <v>24</v>
      </c>
      <c r="F89" s="3">
        <v>100</v>
      </c>
      <c r="G89" s="3"/>
      <c r="H89" s="51" t="s">
        <v>24</v>
      </c>
      <c r="I89" s="51"/>
      <c r="J89" s="22"/>
      <c r="K89" s="6" t="s">
        <v>327</v>
      </c>
      <c r="L89" s="2" t="s">
        <v>347</v>
      </c>
      <c r="M89" s="2" t="s">
        <v>329</v>
      </c>
      <c r="N89" s="2" t="s">
        <v>24</v>
      </c>
      <c r="O89" s="2" t="s">
        <v>24</v>
      </c>
      <c r="P89" s="26" t="s">
        <v>42</v>
      </c>
      <c r="S89" s="38" t="s">
        <v>31</v>
      </c>
    </row>
    <row r="90" spans="1:19" ht="84.75" customHeight="1">
      <c r="A90" s="1">
        <f t="shared" ca="1" si="9"/>
        <v>68</v>
      </c>
      <c r="B90">
        <v>40007</v>
      </c>
      <c r="C90" s="1" t="s">
        <v>348</v>
      </c>
      <c r="D90" s="44" t="s">
        <v>76</v>
      </c>
      <c r="E90" t="s">
        <v>137</v>
      </c>
      <c r="F90" s="14">
        <v>294</v>
      </c>
      <c r="H90" s="50" t="s">
        <v>349</v>
      </c>
      <c r="I90" s="50"/>
      <c r="K90" s="6" t="s">
        <v>327</v>
      </c>
      <c r="L90" s="2" t="s">
        <v>350</v>
      </c>
      <c r="M90" s="15" t="s">
        <v>351</v>
      </c>
      <c r="N90" s="2" t="s">
        <v>352</v>
      </c>
      <c r="O90" s="2" t="s">
        <v>353</v>
      </c>
      <c r="P90" s="26" t="s">
        <v>42</v>
      </c>
      <c r="Q90" s="26" t="s">
        <v>354</v>
      </c>
      <c r="S90" s="38" t="s">
        <v>31</v>
      </c>
    </row>
    <row r="91" spans="1:19" ht="15" customHeight="1">
      <c r="A91" s="53" t="s">
        <v>355</v>
      </c>
      <c r="B91" s="53"/>
      <c r="C91" s="53"/>
      <c r="D91" s="53"/>
      <c r="E91" s="53"/>
      <c r="F91" s="53"/>
      <c r="G91" s="53"/>
      <c r="H91" s="53"/>
      <c r="I91" s="53"/>
      <c r="J91" s="53"/>
      <c r="K91" s="53"/>
      <c r="L91" s="53"/>
      <c r="M91" s="53"/>
      <c r="N91" s="53"/>
      <c r="O91" s="53"/>
      <c r="P91" s="53"/>
      <c r="Q91" s="53"/>
      <c r="R91" s="53"/>
    </row>
    <row r="92" spans="1:19" ht="15" customHeight="1">
      <c r="A92" s="49" t="s">
        <v>356</v>
      </c>
      <c r="B92" s="49"/>
      <c r="C92" s="49"/>
      <c r="D92" s="49"/>
      <c r="E92" s="49"/>
      <c r="F92" s="49"/>
      <c r="G92" s="49"/>
      <c r="H92" s="49"/>
      <c r="I92" s="49"/>
      <c r="J92" s="49"/>
      <c r="K92" s="49"/>
      <c r="L92" s="49"/>
      <c r="M92" s="49"/>
      <c r="N92" s="49"/>
      <c r="O92" s="49"/>
      <c r="P92" s="49"/>
      <c r="Q92" s="49"/>
      <c r="R92" s="49"/>
    </row>
    <row r="93" spans="1:19" ht="77.25">
      <c r="A93" s="1">
        <f ca="1">OFFSET(A91,-1,0)+1</f>
        <v>69</v>
      </c>
      <c r="B93" s="1">
        <v>50121</v>
      </c>
      <c r="C93" s="1" t="s">
        <v>357</v>
      </c>
      <c r="D93" s="44" t="s">
        <v>76</v>
      </c>
      <c r="E93" s="44" t="s">
        <v>243</v>
      </c>
      <c r="F93" s="3">
        <v>4300</v>
      </c>
      <c r="G93" s="3"/>
      <c r="H93" s="3">
        <f>ROUND(($F93*0.97)*(1.3299/56.5)*0.95,0)</f>
        <v>93</v>
      </c>
      <c r="I93" s="3">
        <f>ROUND(($F93*0.98)*(1.3299/56.5)*1.02,0)</f>
        <v>101</v>
      </c>
      <c r="J93" s="23" t="s">
        <v>358</v>
      </c>
      <c r="K93" s="6" t="s">
        <v>38</v>
      </c>
      <c r="L93" s="2" t="s">
        <v>359</v>
      </c>
      <c r="M93" s="2" t="s">
        <v>166</v>
      </c>
      <c r="N93" s="2" t="s">
        <v>360</v>
      </c>
      <c r="O93" s="2" t="s">
        <v>361</v>
      </c>
      <c r="P93" s="26" t="s">
        <v>42</v>
      </c>
      <c r="Q93" s="26" t="s">
        <v>362</v>
      </c>
      <c r="R93" s="2"/>
      <c r="S93" s="38" t="s">
        <v>31</v>
      </c>
    </row>
    <row r="94" spans="1:19" ht="102.75">
      <c r="A94" s="1">
        <f t="shared" ref="A94:A108" ca="1" si="10">A93+1</f>
        <v>70</v>
      </c>
      <c r="B94" s="1">
        <v>50122</v>
      </c>
      <c r="C94" s="1" t="s">
        <v>363</v>
      </c>
      <c r="D94" s="44" t="s">
        <v>76</v>
      </c>
      <c r="E94" s="44" t="s">
        <v>243</v>
      </c>
      <c r="F94" s="3">
        <v>4500</v>
      </c>
      <c r="G94" s="3"/>
      <c r="H94" s="3">
        <f>ROUND((($F94-225)*0.97)*(1.3299/56.5)*0.95+225*0.01,0)</f>
        <v>95</v>
      </c>
      <c r="I94" s="3">
        <f>ROUND((($F94-225)*0.98)*(1.3299/56.5)*1.02+225*0.03,0)</f>
        <v>107</v>
      </c>
      <c r="J94" s="23" t="s">
        <v>358</v>
      </c>
      <c r="K94" s="6" t="s">
        <v>38</v>
      </c>
      <c r="L94" s="2" t="s">
        <v>364</v>
      </c>
      <c r="M94" s="2" t="s">
        <v>166</v>
      </c>
      <c r="N94" s="2" t="s">
        <v>360</v>
      </c>
      <c r="O94" s="2" t="s">
        <v>365</v>
      </c>
      <c r="P94" s="26" t="s">
        <v>42</v>
      </c>
      <c r="Q94" s="26" t="s">
        <v>366</v>
      </c>
      <c r="R94" s="2"/>
      <c r="S94" s="38" t="s">
        <v>31</v>
      </c>
    </row>
    <row r="95" spans="1:19" ht="51.75">
      <c r="A95" s="1">
        <f t="shared" ca="1" si="10"/>
        <v>71</v>
      </c>
      <c r="B95" s="1">
        <v>50123</v>
      </c>
      <c r="C95" s="1" t="s">
        <v>367</v>
      </c>
      <c r="D95" s="44" t="s">
        <v>76</v>
      </c>
      <c r="E95" s="44" t="s">
        <v>251</v>
      </c>
      <c r="F95" s="3">
        <v>200</v>
      </c>
      <c r="G95" s="3"/>
      <c r="H95" s="3">
        <f>ROUND(F$95*(H94/F$94)*0.9,0)</f>
        <v>4</v>
      </c>
      <c r="I95" s="3">
        <f>ROUND(F$95*(I94/$F94)*1.1,0)</f>
        <v>5</v>
      </c>
      <c r="J95" s="22" t="s">
        <v>368</v>
      </c>
      <c r="K95" s="6" t="s">
        <v>38</v>
      </c>
      <c r="L95" s="2" t="s">
        <v>369</v>
      </c>
      <c r="M95" s="2" t="s">
        <v>166</v>
      </c>
      <c r="N95" s="2" t="s">
        <v>360</v>
      </c>
      <c r="O95" s="2" t="s">
        <v>370</v>
      </c>
      <c r="P95" s="26" t="s">
        <v>42</v>
      </c>
      <c r="Q95" s="26" t="s">
        <v>366</v>
      </c>
      <c r="R95" s="2"/>
      <c r="S95" s="38" t="s">
        <v>31</v>
      </c>
    </row>
    <row r="96" spans="1:19" ht="64.5">
      <c r="A96" s="1">
        <f t="shared" ca="1" si="10"/>
        <v>72</v>
      </c>
      <c r="B96" s="1">
        <v>50131</v>
      </c>
      <c r="C96" s="1" t="s">
        <v>371</v>
      </c>
      <c r="D96" s="44" t="s">
        <v>76</v>
      </c>
      <c r="E96" s="44" t="s">
        <v>251</v>
      </c>
      <c r="F96" s="3">
        <v>1000</v>
      </c>
      <c r="G96" s="3"/>
      <c r="H96" s="3">
        <f>ROUND(($F96*0.95)*0,0)</f>
        <v>0</v>
      </c>
      <c r="I96" s="3">
        <f>ROUND(($F96*0.95)*0.05,0)</f>
        <v>48</v>
      </c>
      <c r="J96" s="22" t="s">
        <v>372</v>
      </c>
      <c r="K96" s="6" t="s">
        <v>373</v>
      </c>
      <c r="L96" s="2" t="s">
        <v>374</v>
      </c>
      <c r="M96" s="2" t="s">
        <v>166</v>
      </c>
      <c r="N96" s="2" t="s">
        <v>375</v>
      </c>
      <c r="O96" s="2" t="s">
        <v>376</v>
      </c>
      <c r="P96" s="26" t="s">
        <v>42</v>
      </c>
      <c r="Q96" s="26" t="s">
        <v>366</v>
      </c>
      <c r="R96" s="2"/>
      <c r="S96" s="38" t="s">
        <v>31</v>
      </c>
    </row>
    <row r="97" spans="1:19" ht="64.5">
      <c r="A97" s="1">
        <f t="shared" ca="1" si="10"/>
        <v>73</v>
      </c>
      <c r="B97" s="1">
        <v>50141</v>
      </c>
      <c r="C97" s="1" t="s">
        <v>377</v>
      </c>
      <c r="D97" s="44" t="s">
        <v>378</v>
      </c>
      <c r="E97" s="44" t="s">
        <v>137</v>
      </c>
      <c r="F97" s="3">
        <v>40000</v>
      </c>
      <c r="G97" s="3"/>
      <c r="H97" s="3">
        <f>ROUND((40000*0.95)*0.01,0)</f>
        <v>380</v>
      </c>
      <c r="I97" s="3">
        <f>ROUND((40000*0.95)*0.05,-1)</f>
        <v>1900</v>
      </c>
      <c r="J97" s="22" t="s">
        <v>379</v>
      </c>
      <c r="K97" s="6" t="s">
        <v>327</v>
      </c>
      <c r="L97" s="2" t="s">
        <v>380</v>
      </c>
      <c r="M97" s="2" t="s">
        <v>166</v>
      </c>
      <c r="N97" s="2" t="s">
        <v>381</v>
      </c>
      <c r="O97" s="2" t="s">
        <v>382</v>
      </c>
      <c r="P97" s="26" t="s">
        <v>42</v>
      </c>
      <c r="Q97" s="26" t="s">
        <v>366</v>
      </c>
      <c r="R97" s="2"/>
      <c r="S97" s="38" t="s">
        <v>31</v>
      </c>
    </row>
    <row r="98" spans="1:19" ht="51.75">
      <c r="A98" s="1">
        <f t="shared" ca="1" si="10"/>
        <v>74</v>
      </c>
      <c r="B98" s="1">
        <v>50142</v>
      </c>
      <c r="C98" s="1" t="s">
        <v>383</v>
      </c>
      <c r="D98" s="44" t="s">
        <v>378</v>
      </c>
      <c r="E98" s="44" t="s">
        <v>137</v>
      </c>
      <c r="F98" s="3">
        <v>3000</v>
      </c>
      <c r="G98" s="3"/>
      <c r="H98" s="3">
        <f>ROUND((3000*0.95)*0,0)</f>
        <v>0</v>
      </c>
      <c r="I98" s="3">
        <f>ROUND((3000*0.95)*0.05,-1)</f>
        <v>140</v>
      </c>
      <c r="J98" s="22" t="s">
        <v>372</v>
      </c>
      <c r="K98" s="6" t="s">
        <v>384</v>
      </c>
      <c r="L98" s="2" t="s">
        <v>385</v>
      </c>
      <c r="M98" s="2" t="s">
        <v>166</v>
      </c>
      <c r="N98" s="2" t="s">
        <v>386</v>
      </c>
      <c r="O98" s="2" t="s">
        <v>387</v>
      </c>
      <c r="P98" s="26" t="s">
        <v>42</v>
      </c>
      <c r="Q98" s="26" t="s">
        <v>366</v>
      </c>
      <c r="R98" s="2"/>
      <c r="S98" s="38" t="s">
        <v>388</v>
      </c>
    </row>
    <row r="99" spans="1:19" ht="51.75">
      <c r="A99" s="1">
        <f t="shared" ca="1" si="10"/>
        <v>75</v>
      </c>
      <c r="B99" s="1">
        <v>50143</v>
      </c>
      <c r="C99" s="1" t="s">
        <v>389</v>
      </c>
      <c r="D99" s="44" t="s">
        <v>76</v>
      </c>
      <c r="E99" s="44" t="s">
        <v>137</v>
      </c>
      <c r="F99" s="3">
        <v>2000</v>
      </c>
      <c r="G99" s="3"/>
      <c r="H99" s="3">
        <f>ROUND(($F99*0.95)*0,0)</f>
        <v>0</v>
      </c>
      <c r="I99" s="3">
        <f>ROUND(($F99*0.95)*0.05,-1)</f>
        <v>100</v>
      </c>
      <c r="J99" s="22" t="s">
        <v>372</v>
      </c>
      <c r="K99" s="6" t="s">
        <v>390</v>
      </c>
      <c r="L99" s="2" t="s">
        <v>391</v>
      </c>
      <c r="M99" s="2" t="s">
        <v>166</v>
      </c>
      <c r="N99" s="2" t="s">
        <v>386</v>
      </c>
      <c r="O99" s="2" t="s">
        <v>387</v>
      </c>
      <c r="P99" s="26" t="s">
        <v>42</v>
      </c>
      <c r="Q99" s="26" t="s">
        <v>366</v>
      </c>
      <c r="R99" s="2"/>
      <c r="S99" s="38" t="s">
        <v>388</v>
      </c>
    </row>
    <row r="100" spans="1:19" ht="64.5">
      <c r="A100" s="1">
        <f t="shared" ca="1" si="10"/>
        <v>76</v>
      </c>
      <c r="B100" s="1">
        <v>50144</v>
      </c>
      <c r="C100" s="1" t="s">
        <v>392</v>
      </c>
      <c r="D100" s="44" t="s">
        <v>378</v>
      </c>
      <c r="E100" s="44" t="s">
        <v>137</v>
      </c>
      <c r="F100" s="3">
        <v>250000</v>
      </c>
      <c r="G100" s="3"/>
      <c r="H100" s="3">
        <f>ROUND((250000*0.95)*0.015,-2)</f>
        <v>3600</v>
      </c>
      <c r="I100" s="3">
        <f>ROUND((250000*0.95)*0.04,-2)</f>
        <v>9500</v>
      </c>
      <c r="J100" s="22" t="s">
        <v>393</v>
      </c>
      <c r="K100" s="6" t="s">
        <v>394</v>
      </c>
      <c r="L100" s="2" t="s">
        <v>395</v>
      </c>
      <c r="M100" s="2" t="s">
        <v>396</v>
      </c>
      <c r="N100" s="2" t="s">
        <v>397</v>
      </c>
      <c r="O100" s="2" t="s">
        <v>398</v>
      </c>
      <c r="P100" s="26" t="s">
        <v>42</v>
      </c>
      <c r="Q100" s="26" t="s">
        <v>366</v>
      </c>
      <c r="R100" s="2"/>
      <c r="S100" s="38" t="s">
        <v>388</v>
      </c>
    </row>
    <row r="101" spans="1:19" ht="51.75">
      <c r="A101" s="1">
        <f t="shared" ca="1" si="10"/>
        <v>77</v>
      </c>
      <c r="B101" s="1">
        <v>50145</v>
      </c>
      <c r="C101" s="1" t="s">
        <v>399</v>
      </c>
      <c r="D101" s="44" t="s">
        <v>378</v>
      </c>
      <c r="E101" s="44" t="s">
        <v>137</v>
      </c>
      <c r="F101" s="3">
        <v>20000</v>
      </c>
      <c r="G101" s="3"/>
      <c r="H101" s="3">
        <f>ROUND((20000*0.95)*0,0)</f>
        <v>0</v>
      </c>
      <c r="I101" s="3">
        <f>ROUND((20000*0.95)*0.05,0)</f>
        <v>950</v>
      </c>
      <c r="J101" s="22" t="s">
        <v>372</v>
      </c>
      <c r="K101" s="6" t="s">
        <v>384</v>
      </c>
      <c r="L101" s="2" t="s">
        <v>400</v>
      </c>
      <c r="M101" s="2" t="s">
        <v>166</v>
      </c>
      <c r="N101" s="2" t="s">
        <v>401</v>
      </c>
      <c r="O101" s="2" t="s">
        <v>402</v>
      </c>
      <c r="P101" s="26" t="s">
        <v>42</v>
      </c>
      <c r="Q101" s="26" t="s">
        <v>366</v>
      </c>
      <c r="R101" s="2"/>
      <c r="S101" s="38" t="s">
        <v>388</v>
      </c>
    </row>
    <row r="102" spans="1:19" ht="51.75">
      <c r="A102" s="1">
        <f t="shared" ca="1" si="10"/>
        <v>78</v>
      </c>
      <c r="B102" s="1">
        <v>50151</v>
      </c>
      <c r="C102" s="1" t="s">
        <v>403</v>
      </c>
      <c r="D102" s="44" t="s">
        <v>378</v>
      </c>
      <c r="E102" s="44" t="s">
        <v>137</v>
      </c>
      <c r="F102" s="3">
        <v>2000</v>
      </c>
      <c r="G102" s="3"/>
      <c r="H102" s="3">
        <f>ROUND((2000*0.95)*0.015,0)</f>
        <v>29</v>
      </c>
      <c r="I102" s="3">
        <f>ROUND((2000*0.95)*0.04,0)</f>
        <v>76</v>
      </c>
      <c r="J102" s="22" t="s">
        <v>393</v>
      </c>
      <c r="K102" s="6" t="s">
        <v>404</v>
      </c>
      <c r="L102" s="2" t="s">
        <v>405</v>
      </c>
      <c r="M102" s="2" t="s">
        <v>396</v>
      </c>
      <c r="N102" s="2" t="s">
        <v>397</v>
      </c>
      <c r="O102" s="2" t="s">
        <v>406</v>
      </c>
      <c r="P102" s="26" t="s">
        <v>42</v>
      </c>
      <c r="Q102" s="26" t="s">
        <v>366</v>
      </c>
      <c r="R102" s="2"/>
      <c r="S102" s="38" t="s">
        <v>388</v>
      </c>
    </row>
    <row r="103" spans="1:19" ht="64.5">
      <c r="A103" s="1">
        <f t="shared" ca="1" si="10"/>
        <v>79</v>
      </c>
      <c r="B103" s="1">
        <v>50152</v>
      </c>
      <c r="C103" s="1" t="s">
        <v>407</v>
      </c>
      <c r="D103" s="44" t="s">
        <v>76</v>
      </c>
      <c r="E103" s="44" t="s">
        <v>137</v>
      </c>
      <c r="F103" s="3">
        <v>725</v>
      </c>
      <c r="G103" s="3"/>
      <c r="H103" s="3">
        <f>ROUND(($F103*0.95)*0.015,0)</f>
        <v>10</v>
      </c>
      <c r="I103" s="3">
        <f>ROUND(($F103*0.95)*0.04,0)</f>
        <v>28</v>
      </c>
      <c r="J103" s="22" t="s">
        <v>408</v>
      </c>
      <c r="K103" s="6" t="s">
        <v>409</v>
      </c>
      <c r="L103" s="2" t="s">
        <v>410</v>
      </c>
      <c r="M103" s="2" t="s">
        <v>396</v>
      </c>
      <c r="N103" s="2" t="s">
        <v>381</v>
      </c>
      <c r="O103" s="2" t="s">
        <v>411</v>
      </c>
      <c r="P103" s="26" t="s">
        <v>42</v>
      </c>
      <c r="Q103" s="26" t="s">
        <v>366</v>
      </c>
      <c r="R103" s="2"/>
      <c r="S103" s="38" t="s">
        <v>388</v>
      </c>
    </row>
    <row r="104" spans="1:19" ht="64.5">
      <c r="A104" s="1">
        <f t="shared" ca="1" si="10"/>
        <v>80</v>
      </c>
      <c r="B104" s="1">
        <v>50153</v>
      </c>
      <c r="C104" s="1" t="s">
        <v>412</v>
      </c>
      <c r="D104" s="44" t="s">
        <v>76</v>
      </c>
      <c r="E104" s="1" t="s">
        <v>413</v>
      </c>
      <c r="F104" s="3">
        <v>100</v>
      </c>
      <c r="G104" s="3"/>
      <c r="H104" s="3">
        <f>ROUND(($F104*0.95)*0.02,0)</f>
        <v>2</v>
      </c>
      <c r="I104" s="3">
        <f>ROUND(($F104*0.95)*0.05,0)</f>
        <v>5</v>
      </c>
      <c r="J104" s="22" t="s">
        <v>414</v>
      </c>
      <c r="K104" s="6" t="s">
        <v>390</v>
      </c>
      <c r="L104" s="2" t="s">
        <v>415</v>
      </c>
      <c r="M104" s="2" t="s">
        <v>396</v>
      </c>
      <c r="N104" s="2" t="s">
        <v>397</v>
      </c>
      <c r="O104" s="2" t="s">
        <v>411</v>
      </c>
      <c r="P104" s="26" t="s">
        <v>42</v>
      </c>
      <c r="Q104" s="26" t="s">
        <v>366</v>
      </c>
      <c r="R104" s="2"/>
      <c r="S104" s="38" t="s">
        <v>388</v>
      </c>
    </row>
    <row r="105" spans="1:19" ht="64.5">
      <c r="A105" s="1">
        <f t="shared" ca="1" si="10"/>
        <v>81</v>
      </c>
      <c r="B105" s="1">
        <v>50161</v>
      </c>
      <c r="C105" s="1" t="s">
        <v>416</v>
      </c>
      <c r="D105" s="44" t="s">
        <v>76</v>
      </c>
      <c r="E105" s="44" t="s">
        <v>137</v>
      </c>
      <c r="F105" s="3">
        <v>5250</v>
      </c>
      <c r="G105" s="3"/>
      <c r="H105" s="3">
        <f>ROUND(($F105*0.95)*0.015,0)</f>
        <v>75</v>
      </c>
      <c r="I105" s="3">
        <f>ROUND(($F105*0.95)*0.04,0)</f>
        <v>200</v>
      </c>
      <c r="J105" s="22" t="s">
        <v>408</v>
      </c>
      <c r="K105" s="6" t="s">
        <v>394</v>
      </c>
      <c r="L105" s="2" t="s">
        <v>417</v>
      </c>
      <c r="M105" s="2" t="s">
        <v>166</v>
      </c>
      <c r="N105" s="2" t="s">
        <v>57</v>
      </c>
      <c r="O105" s="2" t="s">
        <v>418</v>
      </c>
      <c r="P105" s="26" t="s">
        <v>42</v>
      </c>
      <c r="Q105" s="26" t="s">
        <v>366</v>
      </c>
      <c r="R105" s="2"/>
      <c r="S105" s="38" t="s">
        <v>388</v>
      </c>
    </row>
    <row r="106" spans="1:19" ht="39">
      <c r="A106" s="1">
        <f t="shared" ca="1" si="10"/>
        <v>82</v>
      </c>
      <c r="B106" s="1">
        <v>50171</v>
      </c>
      <c r="C106" s="1" t="s">
        <v>419</v>
      </c>
      <c r="D106" s="44" t="s">
        <v>76</v>
      </c>
      <c r="E106" s="44" t="s">
        <v>24</v>
      </c>
      <c r="F106" s="3">
        <v>20</v>
      </c>
      <c r="G106" s="3"/>
      <c r="H106" s="51" t="s">
        <v>24</v>
      </c>
      <c r="I106" s="51"/>
      <c r="J106" s="22"/>
      <c r="K106" s="6" t="s">
        <v>390</v>
      </c>
      <c r="L106" s="2" t="s">
        <v>420</v>
      </c>
      <c r="M106" s="2" t="s">
        <v>166</v>
      </c>
      <c r="N106" s="2"/>
      <c r="O106" s="2"/>
      <c r="P106" s="26" t="s">
        <v>42</v>
      </c>
      <c r="Q106" s="26" t="s">
        <v>366</v>
      </c>
      <c r="R106" s="2"/>
      <c r="S106" s="38" t="s">
        <v>388</v>
      </c>
    </row>
    <row r="107" spans="1:19" ht="77.25">
      <c r="A107" s="1">
        <f t="shared" ca="1" si="10"/>
        <v>83</v>
      </c>
      <c r="B107" s="1">
        <v>50172</v>
      </c>
      <c r="C107" s="1" t="s">
        <v>421</v>
      </c>
      <c r="D107" s="44" t="s">
        <v>76</v>
      </c>
      <c r="E107" s="44" t="s">
        <v>251</v>
      </c>
      <c r="F107" s="3">
        <v>2000</v>
      </c>
      <c r="G107" s="3"/>
      <c r="H107" s="3">
        <f>ROUND(($F107*0.95)*0,0)</f>
        <v>0</v>
      </c>
      <c r="I107" s="3">
        <f>ROUND(($F107*0.95)*0.05,0)</f>
        <v>95</v>
      </c>
      <c r="J107" s="22" t="s">
        <v>372</v>
      </c>
      <c r="K107" s="6" t="s">
        <v>422</v>
      </c>
      <c r="L107" s="2" t="s">
        <v>423</v>
      </c>
      <c r="M107" s="2" t="s">
        <v>166</v>
      </c>
      <c r="N107" s="2" t="s">
        <v>57</v>
      </c>
      <c r="O107" s="2" t="s">
        <v>424</v>
      </c>
      <c r="P107" s="26" t="s">
        <v>42</v>
      </c>
      <c r="Q107" s="26" t="s">
        <v>366</v>
      </c>
      <c r="R107" s="2"/>
      <c r="S107" s="38" t="s">
        <v>388</v>
      </c>
    </row>
    <row r="108" spans="1:19" ht="51.75">
      <c r="A108" s="1">
        <f t="shared" ca="1" si="10"/>
        <v>84</v>
      </c>
      <c r="B108" s="1">
        <v>50173</v>
      </c>
      <c r="C108" s="1" t="s">
        <v>425</v>
      </c>
      <c r="D108" s="44" t="s">
        <v>76</v>
      </c>
      <c r="E108" s="44" t="s">
        <v>137</v>
      </c>
      <c r="F108" s="3">
        <v>700</v>
      </c>
      <c r="G108" s="3"/>
      <c r="H108" s="3">
        <f>ROUND(($F108*0.95)*0,0)</f>
        <v>0</v>
      </c>
      <c r="I108" s="3">
        <f>ROUND(($F108*0.95)*0.05,0)</f>
        <v>33</v>
      </c>
      <c r="J108" s="22" t="s">
        <v>372</v>
      </c>
      <c r="K108" s="6" t="s">
        <v>394</v>
      </c>
      <c r="L108" s="2" t="s">
        <v>426</v>
      </c>
      <c r="M108" s="2" t="s">
        <v>166</v>
      </c>
      <c r="N108" s="2" t="s">
        <v>57</v>
      </c>
      <c r="O108" s="2" t="s">
        <v>424</v>
      </c>
      <c r="P108" s="26" t="s">
        <v>42</v>
      </c>
      <c r="Q108" s="26" t="s">
        <v>366</v>
      </c>
      <c r="R108" s="2"/>
      <c r="S108" s="38" t="s">
        <v>388</v>
      </c>
    </row>
    <row r="109" spans="1:19" ht="15" customHeight="1">
      <c r="A109" s="49" t="s">
        <v>427</v>
      </c>
      <c r="B109" s="49"/>
      <c r="C109" s="49"/>
      <c r="D109" s="49"/>
      <c r="E109" s="49"/>
      <c r="F109" s="49"/>
      <c r="G109" s="49"/>
      <c r="H109" s="49"/>
      <c r="I109" s="49"/>
      <c r="J109" s="49"/>
      <c r="K109" s="49"/>
      <c r="L109" s="49"/>
      <c r="M109" s="49"/>
      <c r="N109" s="49"/>
      <c r="O109" s="49"/>
      <c r="P109" s="49"/>
      <c r="Q109" s="49"/>
      <c r="R109" s="49"/>
    </row>
    <row r="110" spans="1:19" ht="51.75">
      <c r="A110" s="1">
        <f ca="1">OFFSET(A109,-1,0)+1</f>
        <v>85</v>
      </c>
      <c r="B110" s="1">
        <v>50221</v>
      </c>
      <c r="C110" s="1" t="s">
        <v>428</v>
      </c>
      <c r="D110" s="44" t="s">
        <v>76</v>
      </c>
      <c r="E110" s="44" t="s">
        <v>251</v>
      </c>
      <c r="F110" s="3">
        <v>250</v>
      </c>
      <c r="G110" s="3"/>
      <c r="H110" s="3">
        <f t="shared" ref="H110:H113" si="11">ROUND((F110*0.95)*0.015,0)</f>
        <v>4</v>
      </c>
      <c r="I110" s="3">
        <f t="shared" ref="I110:I113" si="12">ROUND(($F110*0.95)*0.05,0)</f>
        <v>12</v>
      </c>
      <c r="J110" s="22" t="s">
        <v>429</v>
      </c>
      <c r="K110" s="6" t="s">
        <v>390</v>
      </c>
      <c r="L110" s="2" t="s">
        <v>430</v>
      </c>
      <c r="M110" s="2" t="s">
        <v>431</v>
      </c>
      <c r="N110" s="2"/>
      <c r="O110" s="2"/>
      <c r="P110" s="26" t="s">
        <v>42</v>
      </c>
      <c r="Q110" s="26" t="s">
        <v>366</v>
      </c>
      <c r="R110" s="2"/>
      <c r="S110" s="38" t="s">
        <v>388</v>
      </c>
    </row>
    <row r="111" spans="1:19" ht="51.75">
      <c r="A111">
        <f t="shared" ref="A111:A130" ca="1" si="13">A110+1</f>
        <v>86</v>
      </c>
      <c r="B111">
        <v>50222</v>
      </c>
      <c r="C111" s="1" t="s">
        <v>432</v>
      </c>
      <c r="D111" s="1" t="s">
        <v>76</v>
      </c>
      <c r="E111" s="1" t="s">
        <v>251</v>
      </c>
      <c r="F111" s="3">
        <v>250</v>
      </c>
      <c r="G111" s="3"/>
      <c r="H111" s="3">
        <f t="shared" si="11"/>
        <v>4</v>
      </c>
      <c r="I111" s="3">
        <f t="shared" si="12"/>
        <v>12</v>
      </c>
      <c r="J111" s="22" t="s">
        <v>429</v>
      </c>
      <c r="K111" s="6" t="s">
        <v>390</v>
      </c>
      <c r="L111" s="2" t="s">
        <v>433</v>
      </c>
      <c r="M111" s="2" t="s">
        <v>431</v>
      </c>
      <c r="P111" s="26" t="s">
        <v>42</v>
      </c>
      <c r="Q111" s="26" t="s">
        <v>366</v>
      </c>
      <c r="R111" s="1"/>
      <c r="S111" s="38" t="s">
        <v>388</v>
      </c>
    </row>
    <row r="112" spans="1:19" ht="51.75">
      <c r="A112">
        <f t="shared" ca="1" si="13"/>
        <v>87</v>
      </c>
      <c r="B112">
        <v>50223</v>
      </c>
      <c r="C112" s="1" t="s">
        <v>434</v>
      </c>
      <c r="D112" s="1" t="s">
        <v>76</v>
      </c>
      <c r="E112" s="1" t="s">
        <v>251</v>
      </c>
      <c r="F112" s="3">
        <v>500</v>
      </c>
      <c r="G112" s="3"/>
      <c r="H112" s="3">
        <f t="shared" si="11"/>
        <v>7</v>
      </c>
      <c r="I112" s="3">
        <f t="shared" si="12"/>
        <v>24</v>
      </c>
      <c r="J112" s="22" t="s">
        <v>429</v>
      </c>
      <c r="K112" s="6" t="s">
        <v>404</v>
      </c>
      <c r="L112" s="2" t="s">
        <v>435</v>
      </c>
      <c r="M112" s="2" t="s">
        <v>436</v>
      </c>
      <c r="P112" s="26" t="s">
        <v>42</v>
      </c>
      <c r="Q112" s="26" t="s">
        <v>366</v>
      </c>
      <c r="R112" s="1"/>
      <c r="S112" s="38" t="s">
        <v>388</v>
      </c>
    </row>
    <row r="113" spans="1:19" ht="51.75">
      <c r="A113">
        <f t="shared" ca="1" si="13"/>
        <v>88</v>
      </c>
      <c r="B113">
        <v>50224</v>
      </c>
      <c r="C113" s="1" t="s">
        <v>437</v>
      </c>
      <c r="D113" s="1" t="s">
        <v>76</v>
      </c>
      <c r="E113" s="1" t="s">
        <v>251</v>
      </c>
      <c r="F113" s="3">
        <v>200</v>
      </c>
      <c r="G113" s="3"/>
      <c r="H113" s="3">
        <f t="shared" si="11"/>
        <v>3</v>
      </c>
      <c r="I113" s="3">
        <f t="shared" si="12"/>
        <v>10</v>
      </c>
      <c r="J113" s="22" t="s">
        <v>429</v>
      </c>
      <c r="K113" s="6" t="s">
        <v>394</v>
      </c>
      <c r="L113" s="2" t="s">
        <v>438</v>
      </c>
      <c r="M113" s="2" t="s">
        <v>436</v>
      </c>
      <c r="P113" s="26" t="s">
        <v>42</v>
      </c>
      <c r="Q113" s="26" t="s">
        <v>366</v>
      </c>
      <c r="R113" s="1"/>
      <c r="S113" s="38" t="s">
        <v>388</v>
      </c>
    </row>
    <row r="114" spans="1:19" ht="51.75">
      <c r="A114">
        <f t="shared" ca="1" si="13"/>
        <v>89</v>
      </c>
      <c r="B114">
        <v>50231</v>
      </c>
      <c r="C114" s="1" t="s">
        <v>439</v>
      </c>
      <c r="D114" s="1" t="s">
        <v>76</v>
      </c>
      <c r="E114" s="1" t="s">
        <v>251</v>
      </c>
      <c r="F114" s="3">
        <v>550</v>
      </c>
      <c r="G114" s="3"/>
      <c r="H114" s="50" t="s">
        <v>24</v>
      </c>
      <c r="I114" s="50"/>
      <c r="J114" s="22"/>
      <c r="K114" s="6" t="s">
        <v>390</v>
      </c>
      <c r="L114" s="2" t="s">
        <v>440</v>
      </c>
      <c r="M114" s="2" t="s">
        <v>441</v>
      </c>
      <c r="P114" s="26" t="s">
        <v>42</v>
      </c>
      <c r="Q114" s="26" t="s">
        <v>366</v>
      </c>
      <c r="R114" s="1"/>
      <c r="S114" s="38" t="s">
        <v>388</v>
      </c>
    </row>
    <row r="115" spans="1:19" ht="39">
      <c r="A115">
        <f t="shared" ca="1" si="13"/>
        <v>90</v>
      </c>
      <c r="B115">
        <v>50232</v>
      </c>
      <c r="C115" s="1" t="s">
        <v>442</v>
      </c>
      <c r="D115" s="1" t="s">
        <v>76</v>
      </c>
      <c r="E115" s="1" t="s">
        <v>413</v>
      </c>
      <c r="F115" s="3">
        <v>25</v>
      </c>
      <c r="G115" s="3"/>
      <c r="H115" s="50" t="s">
        <v>24</v>
      </c>
      <c r="I115" s="50"/>
      <c r="J115" s="22"/>
      <c r="K115" s="6" t="s">
        <v>390</v>
      </c>
      <c r="L115" s="2" t="s">
        <v>443</v>
      </c>
      <c r="M115" s="2" t="s">
        <v>441</v>
      </c>
      <c r="P115" s="26" t="s">
        <v>42</v>
      </c>
      <c r="Q115" s="26" t="s">
        <v>366</v>
      </c>
      <c r="R115" s="1"/>
      <c r="S115" s="38" t="s">
        <v>388</v>
      </c>
    </row>
    <row r="116" spans="1:19" ht="77.25">
      <c r="A116">
        <f t="shared" ca="1" si="13"/>
        <v>91</v>
      </c>
      <c r="B116">
        <v>50233</v>
      </c>
      <c r="C116" s="1" t="s">
        <v>444</v>
      </c>
      <c r="D116" s="1" t="s">
        <v>76</v>
      </c>
      <c r="E116" s="1" t="s">
        <v>251</v>
      </c>
      <c r="F116" s="3">
        <v>4000</v>
      </c>
      <c r="G116" s="3"/>
      <c r="H116" s="50" t="s">
        <v>24</v>
      </c>
      <c r="I116" s="50"/>
      <c r="J116" s="22"/>
      <c r="K116" s="6" t="s">
        <v>394</v>
      </c>
      <c r="L116" s="2" t="s">
        <v>445</v>
      </c>
      <c r="M116" s="2" t="s">
        <v>441</v>
      </c>
      <c r="P116" s="26" t="s">
        <v>42</v>
      </c>
      <c r="Q116" s="26" t="s">
        <v>366</v>
      </c>
      <c r="R116" s="1"/>
      <c r="S116" s="38" t="s">
        <v>388</v>
      </c>
    </row>
    <row r="117" spans="1:19" ht="51.75">
      <c r="A117">
        <f t="shared" ca="1" si="13"/>
        <v>92</v>
      </c>
      <c r="B117">
        <v>50241</v>
      </c>
      <c r="C117" s="1" t="s">
        <v>446</v>
      </c>
      <c r="D117" s="1" t="s">
        <v>76</v>
      </c>
      <c r="E117" s="1" t="s">
        <v>251</v>
      </c>
      <c r="F117" s="3">
        <v>16</v>
      </c>
      <c r="G117" s="3"/>
      <c r="H117" s="50" t="s">
        <v>24</v>
      </c>
      <c r="I117" s="50"/>
      <c r="J117" s="22"/>
      <c r="K117" s="6" t="s">
        <v>394</v>
      </c>
      <c r="L117" s="2" t="s">
        <v>447</v>
      </c>
      <c r="M117" s="2" t="s">
        <v>448</v>
      </c>
      <c r="P117" s="26" t="s">
        <v>42</v>
      </c>
      <c r="Q117" s="26" t="s">
        <v>366</v>
      </c>
      <c r="R117" s="1"/>
      <c r="S117" s="38" t="s">
        <v>388</v>
      </c>
    </row>
    <row r="118" spans="1:19" ht="64.5">
      <c r="A118">
        <f t="shared" ca="1" si="13"/>
        <v>93</v>
      </c>
      <c r="B118">
        <v>50251</v>
      </c>
      <c r="C118" s="1" t="s">
        <v>449</v>
      </c>
      <c r="D118" s="1" t="s">
        <v>82</v>
      </c>
      <c r="E118" s="1" t="s">
        <v>24</v>
      </c>
      <c r="F118" s="3"/>
      <c r="G118" s="3">
        <v>-160</v>
      </c>
      <c r="J118" s="22"/>
      <c r="K118" s="6" t="s">
        <v>450</v>
      </c>
      <c r="L118" s="2" t="s">
        <v>451</v>
      </c>
      <c r="M118" s="2" t="s">
        <v>452</v>
      </c>
      <c r="N118" s="2" t="s">
        <v>453</v>
      </c>
      <c r="O118" s="2" t="s">
        <v>454</v>
      </c>
      <c r="P118" s="26" t="s">
        <v>42</v>
      </c>
      <c r="Q118" s="26" t="s">
        <v>366</v>
      </c>
      <c r="R118" s="26" t="s">
        <v>455</v>
      </c>
      <c r="S118" s="38" t="s">
        <v>388</v>
      </c>
    </row>
    <row r="119" spans="1:19">
      <c r="A119" s="49" t="s">
        <v>456</v>
      </c>
      <c r="B119" s="49"/>
      <c r="C119" s="49"/>
      <c r="D119" s="49"/>
      <c r="E119" s="49"/>
      <c r="F119" s="49"/>
      <c r="G119" s="49"/>
      <c r="H119" s="49"/>
      <c r="I119" s="49"/>
      <c r="J119" s="49"/>
      <c r="K119" s="49"/>
      <c r="L119" s="49"/>
      <c r="M119" s="49"/>
      <c r="N119" s="49"/>
      <c r="O119" s="49"/>
      <c r="P119" s="49"/>
      <c r="Q119" s="49"/>
      <c r="R119" s="49"/>
    </row>
    <row r="120" spans="1:19" ht="64.5">
      <c r="A120">
        <f ca="1">A118+1</f>
        <v>94</v>
      </c>
      <c r="B120">
        <v>50261</v>
      </c>
      <c r="C120" s="1" t="s">
        <v>457</v>
      </c>
      <c r="D120" s="1" t="s">
        <v>458</v>
      </c>
      <c r="E120" s="1"/>
      <c r="F120" s="3"/>
      <c r="G120" s="3">
        <v>-484</v>
      </c>
      <c r="H120" s="50" t="s">
        <v>24</v>
      </c>
      <c r="I120" s="50"/>
      <c r="J120"/>
      <c r="K120" s="6" t="s">
        <v>459</v>
      </c>
      <c r="L120" s="2" t="s">
        <v>460</v>
      </c>
      <c r="M120" s="2" t="s">
        <v>461</v>
      </c>
      <c r="N120" s="2"/>
      <c r="O120" s="2"/>
      <c r="P120" s="26" t="s">
        <v>42</v>
      </c>
      <c r="Q120" s="26" t="s">
        <v>366</v>
      </c>
      <c r="R120" s="26" t="s">
        <v>462</v>
      </c>
      <c r="S120" s="38" t="s">
        <v>388</v>
      </c>
    </row>
    <row r="121" spans="1:19" ht="64.5">
      <c r="A121" s="1">
        <f t="shared" ca="1" si="13"/>
        <v>95</v>
      </c>
      <c r="B121" s="4">
        <v>50262</v>
      </c>
      <c r="C121" s="1" t="s">
        <v>463</v>
      </c>
      <c r="D121" s="1" t="s">
        <v>62</v>
      </c>
      <c r="E121" s="1" t="s">
        <v>251</v>
      </c>
      <c r="F121" s="3"/>
      <c r="G121" s="17" t="s">
        <v>464</v>
      </c>
      <c r="H121" s="3"/>
      <c r="I121" s="3"/>
      <c r="J121" s="22"/>
      <c r="K121" s="6" t="s">
        <v>465</v>
      </c>
      <c r="L121" s="2" t="s">
        <v>466</v>
      </c>
      <c r="M121" s="2" t="s">
        <v>461</v>
      </c>
      <c r="N121" s="2"/>
      <c r="O121" s="2"/>
      <c r="P121" s="26" t="s">
        <v>42</v>
      </c>
      <c r="Q121" s="26" t="s">
        <v>366</v>
      </c>
      <c r="R121" s="26" t="s">
        <v>462</v>
      </c>
      <c r="S121" s="38" t="s">
        <v>388</v>
      </c>
    </row>
    <row r="122" spans="1:19" ht="51.75">
      <c r="A122" s="1">
        <f ca="1">A121+1</f>
        <v>96</v>
      </c>
      <c r="B122" s="4">
        <v>50263</v>
      </c>
      <c r="C122" s="1" t="s">
        <v>467</v>
      </c>
      <c r="D122" s="1" t="s">
        <v>62</v>
      </c>
      <c r="E122" s="1" t="s">
        <v>251</v>
      </c>
      <c r="F122" s="3"/>
      <c r="G122" s="17" t="s">
        <v>464</v>
      </c>
      <c r="H122" s="3"/>
      <c r="I122" s="3"/>
      <c r="J122" s="22"/>
      <c r="K122" s="6" t="s">
        <v>465</v>
      </c>
      <c r="L122" s="2" t="s">
        <v>468</v>
      </c>
      <c r="M122" s="2" t="s">
        <v>461</v>
      </c>
      <c r="N122" s="2"/>
      <c r="O122" s="2"/>
      <c r="P122" s="26" t="s">
        <v>42</v>
      </c>
      <c r="Q122" s="26" t="s">
        <v>366</v>
      </c>
      <c r="R122" s="26" t="s">
        <v>462</v>
      </c>
      <c r="S122" s="38" t="s">
        <v>388</v>
      </c>
    </row>
    <row r="123" spans="1:19" ht="45">
      <c r="A123" s="1">
        <f ca="1">A122+1</f>
        <v>97</v>
      </c>
      <c r="B123" s="4">
        <v>50264</v>
      </c>
      <c r="C123" s="1" t="s">
        <v>469</v>
      </c>
      <c r="D123" s="1" t="s">
        <v>62</v>
      </c>
      <c r="E123" s="1" t="s">
        <v>251</v>
      </c>
      <c r="F123" s="3"/>
      <c r="G123" s="17" t="s">
        <v>464</v>
      </c>
      <c r="H123" s="3"/>
      <c r="I123" s="3"/>
      <c r="J123" s="22"/>
      <c r="K123" s="6" t="s">
        <v>465</v>
      </c>
      <c r="L123" s="2" t="s">
        <v>470</v>
      </c>
      <c r="M123" s="2" t="s">
        <v>461</v>
      </c>
      <c r="N123" s="2"/>
      <c r="O123" s="2"/>
      <c r="P123" s="26" t="s">
        <v>42</v>
      </c>
      <c r="Q123" s="26" t="s">
        <v>366</v>
      </c>
      <c r="R123" s="26" t="s">
        <v>462</v>
      </c>
      <c r="S123" s="38" t="s">
        <v>388</v>
      </c>
    </row>
    <row r="124" spans="1:19" ht="90">
      <c r="A124" s="1">
        <f ca="1">A123+1</f>
        <v>98</v>
      </c>
      <c r="B124" s="4">
        <v>50265</v>
      </c>
      <c r="C124" s="1" t="s">
        <v>471</v>
      </c>
      <c r="D124" s="1" t="s">
        <v>62</v>
      </c>
      <c r="E124" s="1" t="s">
        <v>251</v>
      </c>
      <c r="F124" s="3"/>
      <c r="G124" s="17" t="s">
        <v>464</v>
      </c>
      <c r="H124" s="3"/>
      <c r="I124" s="3"/>
      <c r="J124" s="22"/>
      <c r="K124" s="6" t="s">
        <v>472</v>
      </c>
      <c r="L124" s="2" t="s">
        <v>473</v>
      </c>
      <c r="M124" s="2" t="s">
        <v>461</v>
      </c>
      <c r="N124" s="2" t="s">
        <v>474</v>
      </c>
      <c r="O124" s="2" t="s">
        <v>475</v>
      </c>
      <c r="P124" s="26" t="s">
        <v>42</v>
      </c>
      <c r="Q124" s="26" t="s">
        <v>366</v>
      </c>
      <c r="R124" s="26" t="s">
        <v>462</v>
      </c>
      <c r="S124" s="38" t="s">
        <v>388</v>
      </c>
    </row>
    <row r="125" spans="1:19">
      <c r="A125" s="49" t="s">
        <v>476</v>
      </c>
      <c r="B125" s="49"/>
      <c r="C125" s="49"/>
      <c r="D125" s="49"/>
      <c r="E125" s="49"/>
      <c r="F125" s="49"/>
      <c r="G125" s="49"/>
      <c r="H125" s="49"/>
      <c r="I125" s="49"/>
      <c r="J125" s="49"/>
      <c r="K125" s="49"/>
      <c r="L125" s="49"/>
      <c r="M125" s="49"/>
      <c r="N125" s="49"/>
      <c r="O125" s="49"/>
      <c r="P125" s="49"/>
      <c r="Q125" s="49"/>
      <c r="R125" s="49"/>
    </row>
    <row r="126" spans="1:19" ht="39">
      <c r="A126" s="1">
        <f ca="1">A124+1</f>
        <v>99</v>
      </c>
      <c r="B126" s="1">
        <v>50271</v>
      </c>
      <c r="C126" s="1" t="s">
        <v>477</v>
      </c>
      <c r="D126" s="44" t="s">
        <v>76</v>
      </c>
      <c r="E126" s="44" t="s">
        <v>251</v>
      </c>
      <c r="F126" s="3">
        <v>24</v>
      </c>
      <c r="G126" s="3"/>
      <c r="H126" s="52" t="s">
        <v>24</v>
      </c>
      <c r="I126" s="52"/>
      <c r="J126" s="22"/>
      <c r="K126" s="6" t="s">
        <v>390</v>
      </c>
      <c r="L126" s="2" t="s">
        <v>478</v>
      </c>
      <c r="M126" s="2" t="s">
        <v>479</v>
      </c>
      <c r="N126" s="2"/>
      <c r="O126" s="2"/>
      <c r="P126" s="26" t="s">
        <v>42</v>
      </c>
      <c r="Q126" s="26" t="s">
        <v>30</v>
      </c>
      <c r="R126" s="26" t="s">
        <v>366</v>
      </c>
      <c r="S126" s="38" t="s">
        <v>388</v>
      </c>
    </row>
    <row r="127" spans="1:19" ht="39">
      <c r="A127" s="1">
        <f t="shared" ca="1" si="13"/>
        <v>100</v>
      </c>
      <c r="B127" s="1">
        <v>50281</v>
      </c>
      <c r="C127" s="1" t="s">
        <v>480</v>
      </c>
      <c r="D127" s="44" t="s">
        <v>76</v>
      </c>
      <c r="E127" s="44" t="s">
        <v>251</v>
      </c>
      <c r="F127" s="3">
        <v>10</v>
      </c>
      <c r="G127" s="3"/>
      <c r="H127" s="52" t="s">
        <v>24</v>
      </c>
      <c r="I127" s="52"/>
      <c r="J127" s="22"/>
      <c r="K127" s="6" t="s">
        <v>390</v>
      </c>
      <c r="L127" s="2" t="s">
        <v>481</v>
      </c>
      <c r="M127" s="2" t="s">
        <v>461</v>
      </c>
      <c r="N127" s="2"/>
      <c r="O127" s="2"/>
      <c r="P127" s="26" t="s">
        <v>42</v>
      </c>
      <c r="Q127" s="26" t="s">
        <v>366</v>
      </c>
      <c r="R127" s="2"/>
      <c r="S127" s="38" t="s">
        <v>388</v>
      </c>
    </row>
    <row r="128" spans="1:19" ht="39">
      <c r="A128" s="1">
        <f t="shared" ca="1" si="13"/>
        <v>101</v>
      </c>
      <c r="B128" s="1">
        <v>50301</v>
      </c>
      <c r="C128" s="1" t="s">
        <v>482</v>
      </c>
      <c r="D128" s="44" t="s">
        <v>76</v>
      </c>
      <c r="E128" s="44" t="s">
        <v>251</v>
      </c>
      <c r="F128" s="3">
        <v>125</v>
      </c>
      <c r="G128" s="3"/>
      <c r="H128" s="52" t="s">
        <v>24</v>
      </c>
      <c r="I128" s="52"/>
      <c r="J128" s="22"/>
      <c r="K128" s="6" t="s">
        <v>390</v>
      </c>
      <c r="L128" s="2" t="s">
        <v>483</v>
      </c>
      <c r="M128" s="2" t="s">
        <v>166</v>
      </c>
      <c r="N128" s="2"/>
      <c r="O128" s="2"/>
      <c r="P128" s="26" t="s">
        <v>42</v>
      </c>
      <c r="Q128" s="26" t="s">
        <v>366</v>
      </c>
      <c r="R128" s="2"/>
      <c r="S128" s="38" t="s">
        <v>388</v>
      </c>
    </row>
    <row r="129" spans="1:19" ht="51.75">
      <c r="A129" s="1">
        <f t="shared" ca="1" si="13"/>
        <v>102</v>
      </c>
      <c r="B129" s="1">
        <v>50302</v>
      </c>
      <c r="C129" s="1" t="s">
        <v>484</v>
      </c>
      <c r="D129" s="44" t="s">
        <v>76</v>
      </c>
      <c r="E129" s="44" t="s">
        <v>251</v>
      </c>
      <c r="F129" s="3">
        <v>100</v>
      </c>
      <c r="G129" s="3"/>
      <c r="H129" s="52" t="s">
        <v>24</v>
      </c>
      <c r="I129" s="52"/>
      <c r="J129" s="22"/>
      <c r="K129" s="6" t="s">
        <v>390</v>
      </c>
      <c r="L129" s="2" t="s">
        <v>485</v>
      </c>
      <c r="M129" s="2" t="s">
        <v>486</v>
      </c>
      <c r="N129" s="2" t="s">
        <v>474</v>
      </c>
      <c r="O129" s="2" t="s">
        <v>487</v>
      </c>
      <c r="P129" s="26" t="s">
        <v>42</v>
      </c>
      <c r="Q129" s="26" t="s">
        <v>366</v>
      </c>
      <c r="R129" s="2"/>
      <c r="S129" s="38" t="s">
        <v>388</v>
      </c>
    </row>
    <row r="130" spans="1:19" ht="39">
      <c r="A130" s="1">
        <f t="shared" ca="1" si="13"/>
        <v>103</v>
      </c>
      <c r="B130" s="1">
        <v>50303</v>
      </c>
      <c r="C130" s="1" t="s">
        <v>488</v>
      </c>
      <c r="D130" s="44" t="s">
        <v>76</v>
      </c>
      <c r="E130" s="44" t="s">
        <v>251</v>
      </c>
      <c r="F130" s="3">
        <v>150</v>
      </c>
      <c r="G130" s="3"/>
      <c r="H130" s="52" t="s">
        <v>24</v>
      </c>
      <c r="I130" s="52"/>
      <c r="J130" s="22"/>
      <c r="K130" s="6" t="s">
        <v>394</v>
      </c>
      <c r="L130" s="2" t="s">
        <v>489</v>
      </c>
      <c r="M130" s="2" t="s">
        <v>461</v>
      </c>
      <c r="N130" s="2"/>
      <c r="O130" s="2"/>
      <c r="P130" s="26" t="s">
        <v>42</v>
      </c>
      <c r="Q130" s="26" t="s">
        <v>366</v>
      </c>
      <c r="R130" s="2"/>
      <c r="S130" s="38" t="s">
        <v>388</v>
      </c>
    </row>
    <row r="131" spans="1:19" ht="15" customHeight="1">
      <c r="A131" s="53" t="s">
        <v>490</v>
      </c>
      <c r="B131" s="53"/>
      <c r="C131" s="53"/>
      <c r="D131" s="53"/>
      <c r="E131" s="53"/>
      <c r="F131" s="53"/>
      <c r="G131" s="53"/>
      <c r="H131" s="53"/>
      <c r="I131" s="53"/>
      <c r="J131" s="53"/>
      <c r="K131" s="53"/>
      <c r="L131" s="53"/>
      <c r="M131" s="53"/>
      <c r="N131" s="53"/>
      <c r="O131" s="53"/>
      <c r="P131" s="53"/>
      <c r="Q131" s="53"/>
      <c r="R131" s="53"/>
    </row>
    <row r="132" spans="1:19" ht="15" customHeight="1">
      <c r="A132" s="49" t="s">
        <v>491</v>
      </c>
      <c r="B132" s="49"/>
      <c r="C132" s="49"/>
      <c r="D132" s="49"/>
      <c r="E132" s="49"/>
      <c r="F132" s="49"/>
      <c r="G132" s="49"/>
      <c r="H132" s="49"/>
      <c r="I132" s="49"/>
      <c r="J132" s="49"/>
      <c r="K132" s="49"/>
      <c r="L132" s="49"/>
      <c r="M132" s="49"/>
      <c r="N132" s="49"/>
      <c r="O132" s="49"/>
      <c r="P132" s="49"/>
      <c r="Q132" s="49"/>
      <c r="R132" s="49"/>
    </row>
    <row r="133" spans="1:19" ht="102.75">
      <c r="A133" s="1">
        <f ca="1">OFFSET(A131,-1,0)+1</f>
        <v>104</v>
      </c>
      <c r="B133" s="1">
        <v>60101</v>
      </c>
      <c r="C133" s="1" t="s">
        <v>492</v>
      </c>
      <c r="D133" s="44" t="s">
        <v>76</v>
      </c>
      <c r="E133" s="44" t="s">
        <v>137</v>
      </c>
      <c r="F133" s="3">
        <v>1000</v>
      </c>
      <c r="G133" s="3"/>
      <c r="H133" s="3">
        <f>ROUND(F133*0.015,0)</f>
        <v>15</v>
      </c>
      <c r="I133" s="3">
        <f>ROUND(F133*0.03,0)</f>
        <v>30</v>
      </c>
      <c r="J133" s="23" t="s">
        <v>493</v>
      </c>
      <c r="K133" s="6" t="s">
        <v>390</v>
      </c>
      <c r="L133" s="2" t="s">
        <v>494</v>
      </c>
      <c r="M133" s="2" t="s">
        <v>495</v>
      </c>
      <c r="N133" s="2" t="s">
        <v>496</v>
      </c>
      <c r="O133" s="2" t="s">
        <v>497</v>
      </c>
      <c r="P133" s="26" t="s">
        <v>42</v>
      </c>
      <c r="Q133" s="26" t="s">
        <v>498</v>
      </c>
      <c r="R133" s="26" t="s">
        <v>499</v>
      </c>
      <c r="S133" s="38" t="s">
        <v>388</v>
      </c>
    </row>
    <row r="134" spans="1:19" ht="77.25">
      <c r="A134" s="1">
        <f t="shared" ref="A134:A145" ca="1" si="14">A133+1</f>
        <v>105</v>
      </c>
      <c r="B134" s="1">
        <v>60102</v>
      </c>
      <c r="C134" s="1" t="s">
        <v>500</v>
      </c>
      <c r="D134" s="44" t="s">
        <v>76</v>
      </c>
      <c r="E134" s="44" t="s">
        <v>137</v>
      </c>
      <c r="F134" s="3">
        <v>3000</v>
      </c>
      <c r="G134" s="3"/>
      <c r="H134" s="3">
        <f>ROUND(F134*0.004,0)</f>
        <v>12</v>
      </c>
      <c r="I134" s="3">
        <f>ROUND(F134*0.008,0)</f>
        <v>24</v>
      </c>
      <c r="J134" s="23" t="s">
        <v>501</v>
      </c>
      <c r="K134" s="6" t="s">
        <v>422</v>
      </c>
      <c r="L134" s="2" t="s">
        <v>502</v>
      </c>
      <c r="M134" s="2" t="s">
        <v>495</v>
      </c>
      <c r="N134" s="2" t="s">
        <v>503</v>
      </c>
      <c r="O134" s="2" t="s">
        <v>504</v>
      </c>
      <c r="P134" s="26" t="s">
        <v>42</v>
      </c>
      <c r="Q134" s="26" t="s">
        <v>499</v>
      </c>
      <c r="S134" s="38" t="s">
        <v>388</v>
      </c>
    </row>
    <row r="135" spans="1:19" ht="77.25">
      <c r="A135" s="1">
        <f t="shared" ca="1" si="14"/>
        <v>106</v>
      </c>
      <c r="B135" s="1">
        <v>60103</v>
      </c>
      <c r="C135" s="1" t="s">
        <v>505</v>
      </c>
      <c r="D135" s="44" t="s">
        <v>76</v>
      </c>
      <c r="E135" s="44" t="s">
        <v>137</v>
      </c>
      <c r="F135" s="3">
        <v>19980</v>
      </c>
      <c r="G135" s="3"/>
      <c r="H135" s="3">
        <f>ROUND(($F135*0.95)*0.015,-1)</f>
        <v>280</v>
      </c>
      <c r="I135" s="3">
        <f>ROUND(($F135*0.95)*0.04,-2)</f>
        <v>800</v>
      </c>
      <c r="J135" s="22" t="s">
        <v>506</v>
      </c>
      <c r="K135" s="6" t="s">
        <v>507</v>
      </c>
      <c r="L135" s="2" t="s">
        <v>508</v>
      </c>
      <c r="M135" s="2" t="s">
        <v>495</v>
      </c>
      <c r="N135" s="2" t="s">
        <v>509</v>
      </c>
      <c r="O135" s="2" t="s">
        <v>510</v>
      </c>
      <c r="P135" s="26" t="s">
        <v>42</v>
      </c>
      <c r="Q135" s="26" t="s">
        <v>499</v>
      </c>
      <c r="S135" s="38" t="s">
        <v>388</v>
      </c>
    </row>
    <row r="136" spans="1:19" ht="64.5">
      <c r="A136" s="1">
        <f t="shared" ca="1" si="14"/>
        <v>107</v>
      </c>
      <c r="B136" s="1">
        <v>60104</v>
      </c>
      <c r="C136" s="1" t="s">
        <v>511</v>
      </c>
      <c r="D136" s="44" t="s">
        <v>76</v>
      </c>
      <c r="E136" s="44" t="s">
        <v>251</v>
      </c>
      <c r="F136" s="3">
        <v>60</v>
      </c>
      <c r="G136" s="3"/>
      <c r="H136" s="11">
        <f t="shared" ref="H136:H139" si="15">ROUND(($F136*0.95)*0.015,1)</f>
        <v>0.9</v>
      </c>
      <c r="I136" s="11">
        <f t="shared" ref="I136:I139" si="16">ROUND(($F136*0.95)*0.04,1)</f>
        <v>2.2999999999999998</v>
      </c>
      <c r="J136" s="22" t="s">
        <v>506</v>
      </c>
      <c r="K136" s="6" t="s">
        <v>390</v>
      </c>
      <c r="L136" s="2" t="s">
        <v>512</v>
      </c>
      <c r="M136" s="2" t="s">
        <v>495</v>
      </c>
      <c r="N136" s="2" t="s">
        <v>187</v>
      </c>
      <c r="O136" s="2" t="s">
        <v>513</v>
      </c>
      <c r="P136" s="26" t="s">
        <v>42</v>
      </c>
      <c r="Q136" s="26" t="s">
        <v>499</v>
      </c>
      <c r="S136" s="38" t="s">
        <v>388</v>
      </c>
    </row>
    <row r="137" spans="1:19" ht="64.5">
      <c r="A137" s="1">
        <f t="shared" ca="1" si="14"/>
        <v>108</v>
      </c>
      <c r="B137" s="1">
        <v>60105</v>
      </c>
      <c r="C137" s="1" t="s">
        <v>514</v>
      </c>
      <c r="D137" s="44" t="s">
        <v>76</v>
      </c>
      <c r="E137" s="44" t="s">
        <v>251</v>
      </c>
      <c r="F137" s="3">
        <v>281</v>
      </c>
      <c r="G137" s="3"/>
      <c r="H137" s="3">
        <f>ROUND(($F137*0.95)*0.015,0)</f>
        <v>4</v>
      </c>
      <c r="I137" s="3">
        <f>ROUND(($F137*0.95)*0.04,0)</f>
        <v>11</v>
      </c>
      <c r="J137" s="22" t="s">
        <v>506</v>
      </c>
      <c r="K137" s="6" t="s">
        <v>390</v>
      </c>
      <c r="L137" s="2" t="s">
        <v>515</v>
      </c>
      <c r="M137" s="2" t="s">
        <v>495</v>
      </c>
      <c r="N137" s="2" t="s">
        <v>187</v>
      </c>
      <c r="O137" s="2" t="s">
        <v>516</v>
      </c>
      <c r="P137" s="26" t="s">
        <v>42</v>
      </c>
      <c r="Q137" s="26" t="s">
        <v>499</v>
      </c>
      <c r="S137" s="38" t="s">
        <v>388</v>
      </c>
    </row>
    <row r="138" spans="1:19" ht="64.5">
      <c r="A138" s="1">
        <f t="shared" ca="1" si="14"/>
        <v>109</v>
      </c>
      <c r="B138" s="1">
        <v>60106</v>
      </c>
      <c r="C138" s="1" t="s">
        <v>517</v>
      </c>
      <c r="D138" s="44" t="s">
        <v>76</v>
      </c>
      <c r="E138" s="44" t="s">
        <v>251</v>
      </c>
      <c r="F138" s="3">
        <v>50</v>
      </c>
      <c r="G138" s="3"/>
      <c r="H138" s="11">
        <f t="shared" si="15"/>
        <v>0.7</v>
      </c>
      <c r="I138" s="11">
        <f t="shared" si="16"/>
        <v>1.9</v>
      </c>
      <c r="J138" s="22" t="s">
        <v>506</v>
      </c>
      <c r="K138" s="6" t="s">
        <v>390</v>
      </c>
      <c r="L138" s="2" t="s">
        <v>518</v>
      </c>
      <c r="M138" s="2" t="s">
        <v>495</v>
      </c>
      <c r="N138" s="2" t="s">
        <v>519</v>
      </c>
      <c r="O138" s="2" t="s">
        <v>520</v>
      </c>
      <c r="P138" s="26" t="s">
        <v>42</v>
      </c>
      <c r="Q138" s="26" t="s">
        <v>499</v>
      </c>
      <c r="S138" s="38" t="s">
        <v>388</v>
      </c>
    </row>
    <row r="139" spans="1:19" ht="64.5">
      <c r="A139" s="1">
        <f t="shared" ca="1" si="14"/>
        <v>110</v>
      </c>
      <c r="B139" s="1">
        <v>60107</v>
      </c>
      <c r="C139" s="1" t="s">
        <v>521</v>
      </c>
      <c r="D139" s="44" t="s">
        <v>76</v>
      </c>
      <c r="E139" s="44" t="s">
        <v>251</v>
      </c>
      <c r="F139" s="3">
        <v>87</v>
      </c>
      <c r="G139" s="3"/>
      <c r="H139" s="11">
        <f t="shared" si="15"/>
        <v>1.2</v>
      </c>
      <c r="I139" s="11">
        <f t="shared" si="16"/>
        <v>3.3</v>
      </c>
      <c r="J139" s="22" t="s">
        <v>506</v>
      </c>
      <c r="K139" s="6" t="s">
        <v>390</v>
      </c>
      <c r="L139" s="2" t="s">
        <v>522</v>
      </c>
      <c r="M139" s="2" t="s">
        <v>495</v>
      </c>
      <c r="N139" s="2" t="s">
        <v>523</v>
      </c>
      <c r="O139" s="2" t="s">
        <v>524</v>
      </c>
      <c r="P139" s="26" t="s">
        <v>42</v>
      </c>
      <c r="Q139" s="27"/>
      <c r="S139" s="38" t="s">
        <v>388</v>
      </c>
    </row>
    <row r="140" spans="1:19" ht="64.5">
      <c r="A140" s="1">
        <f t="shared" ca="1" si="14"/>
        <v>111</v>
      </c>
      <c r="B140" s="1">
        <v>60108</v>
      </c>
      <c r="C140" s="1" t="s">
        <v>525</v>
      </c>
      <c r="D140" s="44" t="s">
        <v>76</v>
      </c>
      <c r="E140" s="44" t="s">
        <v>526</v>
      </c>
      <c r="F140" s="3">
        <v>15</v>
      </c>
      <c r="G140" s="3"/>
      <c r="H140" s="11">
        <f>ROUND(($F140*0.95)*0.015,1)</f>
        <v>0.2</v>
      </c>
      <c r="I140" s="11">
        <f>ROUND(($F140*0.95)*0.04,1)</f>
        <v>0.6</v>
      </c>
      <c r="J140" s="22" t="s">
        <v>506</v>
      </c>
      <c r="K140" s="6" t="s">
        <v>390</v>
      </c>
      <c r="L140" s="2" t="s">
        <v>527</v>
      </c>
      <c r="M140" s="2" t="s">
        <v>495</v>
      </c>
      <c r="N140" s="2"/>
      <c r="O140" s="2" t="s">
        <v>528</v>
      </c>
      <c r="P140" s="26" t="s">
        <v>42</v>
      </c>
      <c r="Q140" s="26" t="s">
        <v>499</v>
      </c>
      <c r="R140" s="26" t="s">
        <v>142</v>
      </c>
      <c r="S140" s="38" t="s">
        <v>388</v>
      </c>
    </row>
    <row r="141" spans="1:19" ht="64.5">
      <c r="A141" s="1">
        <f t="shared" ca="1" si="14"/>
        <v>112</v>
      </c>
      <c r="B141" s="1">
        <v>60109</v>
      </c>
      <c r="C141" s="1" t="s">
        <v>529</v>
      </c>
      <c r="D141" s="44" t="s">
        <v>76</v>
      </c>
      <c r="E141" s="44" t="s">
        <v>526</v>
      </c>
      <c r="F141" s="3">
        <v>39</v>
      </c>
      <c r="G141" s="3"/>
      <c r="H141" s="11">
        <f>ROUND(($F141*0.95)*0.015,1)</f>
        <v>0.6</v>
      </c>
      <c r="I141" s="11">
        <f>ROUND(($F141*0.95)*0.04,1)</f>
        <v>1.5</v>
      </c>
      <c r="J141" s="22" t="s">
        <v>506</v>
      </c>
      <c r="K141" s="6" t="s">
        <v>394</v>
      </c>
      <c r="L141" s="2" t="s">
        <v>530</v>
      </c>
      <c r="M141" s="2" t="s">
        <v>495</v>
      </c>
      <c r="N141" s="2"/>
      <c r="O141" s="2" t="s">
        <v>531</v>
      </c>
      <c r="P141" s="26" t="s">
        <v>42</v>
      </c>
      <c r="Q141" s="10" t="s">
        <v>495</v>
      </c>
      <c r="R141" s="26" t="s">
        <v>499</v>
      </c>
      <c r="S141" s="38" t="s">
        <v>388</v>
      </c>
    </row>
    <row r="142" spans="1:19" ht="90">
      <c r="A142" s="1">
        <f t="shared" ca="1" si="14"/>
        <v>113</v>
      </c>
      <c r="B142" s="1">
        <v>60110</v>
      </c>
      <c r="C142" s="1" t="s">
        <v>532</v>
      </c>
      <c r="D142" s="44" t="s">
        <v>76</v>
      </c>
      <c r="E142" s="44" t="s">
        <v>251</v>
      </c>
      <c r="F142" s="3">
        <v>25</v>
      </c>
      <c r="G142" s="3"/>
      <c r="H142" s="36">
        <f>ROUND((3*0.95)*0.02,2)</f>
        <v>0.06</v>
      </c>
      <c r="I142" s="36">
        <f>ROUND((3*0.95)*0.04,2)</f>
        <v>0.11</v>
      </c>
      <c r="J142" s="22" t="s">
        <v>533</v>
      </c>
      <c r="K142" s="6" t="s">
        <v>390</v>
      </c>
      <c r="L142" s="2" t="s">
        <v>534</v>
      </c>
      <c r="M142" s="2" t="s">
        <v>495</v>
      </c>
      <c r="N142" s="2" t="s">
        <v>187</v>
      </c>
      <c r="O142" s="2" t="s">
        <v>535</v>
      </c>
      <c r="P142" s="26" t="s">
        <v>42</v>
      </c>
      <c r="Q142" s="10" t="s">
        <v>495</v>
      </c>
      <c r="R142" s="26" t="s">
        <v>499</v>
      </c>
      <c r="S142" s="38" t="s">
        <v>388</v>
      </c>
    </row>
    <row r="143" spans="1:19" ht="51.75">
      <c r="A143" s="1">
        <f t="shared" ca="1" si="14"/>
        <v>114</v>
      </c>
      <c r="B143" s="1">
        <v>60111</v>
      </c>
      <c r="C143" s="1" t="s">
        <v>536</v>
      </c>
      <c r="D143" s="44" t="s">
        <v>76</v>
      </c>
      <c r="E143" s="44" t="s">
        <v>251</v>
      </c>
      <c r="F143" s="3">
        <v>5</v>
      </c>
      <c r="G143" s="3"/>
      <c r="H143" s="51" t="s">
        <v>24</v>
      </c>
      <c r="I143" s="51"/>
      <c r="J143" s="20"/>
      <c r="K143" s="6" t="s">
        <v>390</v>
      </c>
      <c r="L143" s="2" t="s">
        <v>537</v>
      </c>
      <c r="M143" s="2" t="s">
        <v>495</v>
      </c>
      <c r="N143" s="2"/>
      <c r="O143" s="2" t="s">
        <v>538</v>
      </c>
      <c r="P143" s="26" t="s">
        <v>42</v>
      </c>
      <c r="Q143" s="27"/>
      <c r="S143" s="38" t="s">
        <v>388</v>
      </c>
    </row>
    <row r="144" spans="1:19" ht="115.5">
      <c r="A144" s="1">
        <f t="shared" ca="1" si="14"/>
        <v>115</v>
      </c>
      <c r="B144" s="1">
        <v>60112</v>
      </c>
      <c r="C144" s="1" t="s">
        <v>539</v>
      </c>
      <c r="D144" s="44" t="s">
        <v>76</v>
      </c>
      <c r="E144" s="44" t="s">
        <v>526</v>
      </c>
      <c r="F144" s="3">
        <v>250</v>
      </c>
      <c r="G144" s="3"/>
      <c r="H144" s="3">
        <f>ROUND(($F144*0.95)*0.015,0)</f>
        <v>4</v>
      </c>
      <c r="I144" s="3">
        <f>ROUND(($F144*0.95)*0.04,0)</f>
        <v>10</v>
      </c>
      <c r="J144" s="22" t="s">
        <v>506</v>
      </c>
      <c r="K144" s="6" t="s">
        <v>390</v>
      </c>
      <c r="L144" s="2" t="s">
        <v>540</v>
      </c>
      <c r="M144" s="2" t="s">
        <v>495</v>
      </c>
      <c r="N144" s="2" t="s">
        <v>541</v>
      </c>
      <c r="O144" s="2" t="s">
        <v>542</v>
      </c>
      <c r="P144" s="26" t="s">
        <v>42</v>
      </c>
      <c r="Q144" s="26" t="s">
        <v>57</v>
      </c>
      <c r="S144" s="38" t="s">
        <v>388</v>
      </c>
    </row>
    <row r="145" spans="1:42" ht="64.5">
      <c r="A145" s="1">
        <f t="shared" ca="1" si="14"/>
        <v>116</v>
      </c>
      <c r="B145" s="1">
        <v>60113</v>
      </c>
      <c r="C145" s="1" t="s">
        <v>543</v>
      </c>
      <c r="D145" s="44" t="s">
        <v>76</v>
      </c>
      <c r="E145" s="44" t="s">
        <v>544</v>
      </c>
      <c r="F145" s="3">
        <v>1550</v>
      </c>
      <c r="G145" s="3">
        <v>-6350</v>
      </c>
      <c r="H145" s="3">
        <f>ROUND(F145*0.005,0)</f>
        <v>8</v>
      </c>
      <c r="I145" s="3">
        <f>ROUND(F145*0.015,0)</f>
        <v>23</v>
      </c>
      <c r="J145" s="20" t="s">
        <v>545</v>
      </c>
      <c r="K145" s="6" t="s">
        <v>546</v>
      </c>
      <c r="L145" s="2" t="s">
        <v>547</v>
      </c>
      <c r="M145" s="2" t="s">
        <v>495</v>
      </c>
      <c r="N145" s="2" t="s">
        <v>187</v>
      </c>
      <c r="O145" s="2" t="s">
        <v>548</v>
      </c>
      <c r="P145" s="26" t="s">
        <v>42</v>
      </c>
      <c r="Q145" s="27" t="s">
        <v>30</v>
      </c>
      <c r="R145" s="26" t="s">
        <v>499</v>
      </c>
      <c r="S145" s="38" t="s">
        <v>388</v>
      </c>
      <c r="AP145" s="37"/>
    </row>
    <row r="146" spans="1:42" ht="51.75">
      <c r="A146" s="1">
        <f ca="1">A145+1</f>
        <v>117</v>
      </c>
      <c r="B146" s="1">
        <v>60114</v>
      </c>
      <c r="C146" s="1" t="s">
        <v>549</v>
      </c>
      <c r="D146" s="44" t="s">
        <v>76</v>
      </c>
      <c r="E146" s="44" t="s">
        <v>550</v>
      </c>
      <c r="F146" s="3">
        <v>4050</v>
      </c>
      <c r="G146" s="3"/>
      <c r="H146" s="3">
        <f>ROUND(F146*0.02,0)</f>
        <v>81</v>
      </c>
      <c r="I146" s="3">
        <f>ROUND(F146*0.04,0)</f>
        <v>162</v>
      </c>
      <c r="J146" s="20" t="s">
        <v>551</v>
      </c>
      <c r="K146" s="6" t="s">
        <v>552</v>
      </c>
      <c r="L146" s="2" t="s">
        <v>553</v>
      </c>
      <c r="M146" s="2" t="s">
        <v>495</v>
      </c>
      <c r="N146" s="2" t="s">
        <v>187</v>
      </c>
      <c r="O146" s="2" t="s">
        <v>554</v>
      </c>
      <c r="P146" s="26" t="s">
        <v>42</v>
      </c>
      <c r="Q146" s="27" t="s">
        <v>30</v>
      </c>
      <c r="R146" s="26" t="s">
        <v>499</v>
      </c>
      <c r="S146" s="38" t="s">
        <v>388</v>
      </c>
    </row>
    <row r="147" spans="1:42" ht="51.75">
      <c r="A147" s="1">
        <f ca="1">A146+1</f>
        <v>118</v>
      </c>
      <c r="B147" s="1">
        <v>60115</v>
      </c>
      <c r="C147" s="1" t="s">
        <v>555</v>
      </c>
      <c r="D147" s="44" t="s">
        <v>76</v>
      </c>
      <c r="E147" s="44" t="s">
        <v>24</v>
      </c>
      <c r="F147" s="48">
        <v>40</v>
      </c>
      <c r="G147" s="48"/>
      <c r="H147" s="48" t="s">
        <v>24</v>
      </c>
      <c r="I147" s="48"/>
      <c r="J147" s="20"/>
      <c r="K147" s="6" t="s">
        <v>556</v>
      </c>
      <c r="L147" s="2" t="s">
        <v>557</v>
      </c>
      <c r="M147" s="2" t="s">
        <v>495</v>
      </c>
      <c r="N147" s="2" t="s">
        <v>187</v>
      </c>
      <c r="O147" s="2"/>
      <c r="P147" s="26" t="s">
        <v>42</v>
      </c>
      <c r="Q147" s="27" t="s">
        <v>30</v>
      </c>
      <c r="R147" s="26" t="s">
        <v>499</v>
      </c>
      <c r="S147" s="38" t="s">
        <v>388</v>
      </c>
    </row>
    <row r="148" spans="1:42" ht="51.75">
      <c r="A148" s="1">
        <f ca="1">A147+1</f>
        <v>119</v>
      </c>
      <c r="B148" s="1">
        <v>60116</v>
      </c>
      <c r="C148" s="1" t="s">
        <v>558</v>
      </c>
      <c r="D148" s="44" t="s">
        <v>76</v>
      </c>
      <c r="E148" s="44" t="s">
        <v>24</v>
      </c>
      <c r="F148" s="3">
        <v>100</v>
      </c>
      <c r="G148" s="3"/>
      <c r="H148" s="48" t="s">
        <v>24</v>
      </c>
      <c r="I148" s="48"/>
      <c r="J148" s="20"/>
      <c r="K148" s="6" t="s">
        <v>556</v>
      </c>
      <c r="L148" s="2" t="s">
        <v>559</v>
      </c>
      <c r="M148" s="2" t="s">
        <v>560</v>
      </c>
      <c r="N148" s="2" t="s">
        <v>561</v>
      </c>
      <c r="O148" s="2"/>
      <c r="P148" s="26" t="s">
        <v>42</v>
      </c>
      <c r="Q148" s="27" t="s">
        <v>30</v>
      </c>
      <c r="R148" s="26" t="s">
        <v>499</v>
      </c>
      <c r="S148" s="38" t="s">
        <v>388</v>
      </c>
    </row>
    <row r="149" spans="1:42" ht="15" customHeight="1">
      <c r="A149" s="49" t="s">
        <v>562</v>
      </c>
      <c r="B149" s="49"/>
      <c r="C149" s="49"/>
      <c r="D149" s="49"/>
      <c r="E149" s="49"/>
      <c r="F149" s="49"/>
      <c r="G149" s="49"/>
      <c r="H149" s="49"/>
      <c r="I149" s="49"/>
      <c r="J149" s="49"/>
      <c r="K149" s="49"/>
      <c r="L149" s="49"/>
      <c r="M149" s="49"/>
      <c r="N149" s="49"/>
      <c r="O149" s="49"/>
      <c r="P149" s="49"/>
      <c r="Q149" s="49"/>
      <c r="R149" s="49"/>
    </row>
    <row r="150" spans="1:42" ht="77.25">
      <c r="A150" s="1">
        <f ca="1">OFFSET(A149,-1,0)+1</f>
        <v>120</v>
      </c>
      <c r="B150" s="1">
        <v>60501</v>
      </c>
      <c r="C150" s="1" t="s">
        <v>563</v>
      </c>
      <c r="D150" s="44" t="s">
        <v>76</v>
      </c>
      <c r="E150" s="44" t="s">
        <v>137</v>
      </c>
      <c r="F150" s="3">
        <v>2900</v>
      </c>
      <c r="G150" s="3"/>
      <c r="H150" s="3">
        <f t="shared" ref="H150:H155" si="17">ROUND((F150*0.95)*0.005,0)</f>
        <v>14</v>
      </c>
      <c r="I150" s="3">
        <f>ROUND((F150*0.95)*0.1,-1)</f>
        <v>280</v>
      </c>
      <c r="J150" s="30" t="s">
        <v>564</v>
      </c>
      <c r="K150" s="6" t="s">
        <v>556</v>
      </c>
      <c r="L150" s="2" t="s">
        <v>565</v>
      </c>
      <c r="M150" s="2" t="s">
        <v>566</v>
      </c>
      <c r="N150" s="2" t="s">
        <v>567</v>
      </c>
      <c r="O150" s="2" t="s">
        <v>568</v>
      </c>
      <c r="P150" s="26" t="s">
        <v>42</v>
      </c>
      <c r="Q150" s="27" t="s">
        <v>566</v>
      </c>
      <c r="S150" s="38" t="s">
        <v>388</v>
      </c>
    </row>
    <row r="151" spans="1:42" ht="77.25">
      <c r="A151" s="1">
        <f ca="1">A150+1</f>
        <v>121</v>
      </c>
      <c r="B151" s="1">
        <v>60502</v>
      </c>
      <c r="C151" s="1" t="s">
        <v>569</v>
      </c>
      <c r="D151" s="44" t="s">
        <v>76</v>
      </c>
      <c r="E151" s="44" t="s">
        <v>24</v>
      </c>
      <c r="F151" s="3">
        <v>250</v>
      </c>
      <c r="G151" s="3"/>
      <c r="H151" s="11">
        <f t="shared" si="17"/>
        <v>1</v>
      </c>
      <c r="I151" s="3">
        <f t="shared" ref="I151:I154" si="18">ROUND((F151*0.95)*0.1,0)</f>
        <v>24</v>
      </c>
      <c r="J151" s="23" t="s">
        <v>564</v>
      </c>
      <c r="K151" s="6" t="s">
        <v>390</v>
      </c>
      <c r="L151" s="2" t="s">
        <v>570</v>
      </c>
      <c r="M151" s="2" t="s">
        <v>571</v>
      </c>
      <c r="N151" s="2"/>
      <c r="O151" s="2"/>
      <c r="P151" s="26" t="s">
        <v>42</v>
      </c>
      <c r="Q151" s="27" t="s">
        <v>566</v>
      </c>
      <c r="S151" s="38" t="s">
        <v>388</v>
      </c>
    </row>
    <row r="152" spans="1:42" ht="77.25">
      <c r="A152" s="1">
        <f ca="1">A151+1</f>
        <v>122</v>
      </c>
      <c r="B152" s="1">
        <v>60503</v>
      </c>
      <c r="C152" s="1" t="s">
        <v>572</v>
      </c>
      <c r="D152" s="44" t="s">
        <v>76</v>
      </c>
      <c r="E152" s="44" t="s">
        <v>24</v>
      </c>
      <c r="F152" s="3">
        <v>2150</v>
      </c>
      <c r="G152" s="3"/>
      <c r="H152" s="3">
        <f t="shared" si="17"/>
        <v>10</v>
      </c>
      <c r="I152" s="3">
        <f>ROUND((F152*0.95)*0.1,-1)</f>
        <v>200</v>
      </c>
      <c r="J152" s="23" t="s">
        <v>564</v>
      </c>
      <c r="K152" s="6" t="s">
        <v>556</v>
      </c>
      <c r="L152" s="2" t="s">
        <v>573</v>
      </c>
      <c r="M152" s="2" t="s">
        <v>571</v>
      </c>
      <c r="N152" s="2"/>
      <c r="O152" s="2"/>
      <c r="P152" s="26" t="s">
        <v>42</v>
      </c>
      <c r="Q152" s="27" t="s">
        <v>566</v>
      </c>
      <c r="S152" s="38" t="s">
        <v>388</v>
      </c>
    </row>
    <row r="153" spans="1:42" ht="77.25">
      <c r="A153" s="1">
        <f ca="1">A152+1</f>
        <v>123</v>
      </c>
      <c r="B153" s="1">
        <v>60504</v>
      </c>
      <c r="C153" s="1" t="s">
        <v>574</v>
      </c>
      <c r="D153" s="44" t="s">
        <v>76</v>
      </c>
      <c r="E153" s="44" t="s">
        <v>24</v>
      </c>
      <c r="F153" s="3">
        <v>975</v>
      </c>
      <c r="G153" s="3"/>
      <c r="H153" s="3">
        <f t="shared" si="17"/>
        <v>5</v>
      </c>
      <c r="I153" s="3">
        <f>ROUND((F153*0.95)*0.1,-1)</f>
        <v>90</v>
      </c>
      <c r="J153" s="23" t="s">
        <v>564</v>
      </c>
      <c r="K153" s="6" t="s">
        <v>556</v>
      </c>
      <c r="L153" s="2" t="s">
        <v>575</v>
      </c>
      <c r="M153" s="2" t="s">
        <v>571</v>
      </c>
      <c r="N153" s="2"/>
      <c r="O153" s="2"/>
      <c r="P153" s="26" t="s">
        <v>42</v>
      </c>
      <c r="Q153" s="27" t="s">
        <v>566</v>
      </c>
      <c r="S153" s="38" t="s">
        <v>388</v>
      </c>
    </row>
    <row r="154" spans="1:42" ht="115.5">
      <c r="A154" s="1">
        <f ca="1">A153+1</f>
        <v>124</v>
      </c>
      <c r="B154" s="1">
        <v>60505</v>
      </c>
      <c r="C154" s="1" t="s">
        <v>576</v>
      </c>
      <c r="D154" s="44" t="s">
        <v>76</v>
      </c>
      <c r="E154" s="44" t="s">
        <v>24</v>
      </c>
      <c r="F154" s="3">
        <v>95</v>
      </c>
      <c r="G154" s="3"/>
      <c r="H154" s="11">
        <f>ROUND((F154*0.95)*0.005,1)</f>
        <v>0.5</v>
      </c>
      <c r="I154" s="3">
        <f t="shared" si="18"/>
        <v>9</v>
      </c>
      <c r="J154" s="23" t="s">
        <v>564</v>
      </c>
      <c r="K154" s="6" t="s">
        <v>556</v>
      </c>
      <c r="L154" s="2" t="s">
        <v>577</v>
      </c>
      <c r="M154" s="2" t="s">
        <v>566</v>
      </c>
      <c r="N154" s="2" t="s">
        <v>204</v>
      </c>
      <c r="O154" s="2" t="s">
        <v>578</v>
      </c>
      <c r="P154" s="26" t="s">
        <v>42</v>
      </c>
      <c r="Q154" s="27" t="s">
        <v>566</v>
      </c>
      <c r="S154" s="38" t="s">
        <v>388</v>
      </c>
    </row>
    <row r="155" spans="1:42" ht="77.25">
      <c r="A155" s="1">
        <f ca="1">A154+1</f>
        <v>125</v>
      </c>
      <c r="B155" s="1">
        <v>60506</v>
      </c>
      <c r="C155" s="1" t="s">
        <v>579</v>
      </c>
      <c r="D155" s="44" t="s">
        <v>76</v>
      </c>
      <c r="E155" s="44" t="s">
        <v>137</v>
      </c>
      <c r="F155" s="3">
        <v>1700</v>
      </c>
      <c r="G155" s="3"/>
      <c r="H155" s="3">
        <f t="shared" si="17"/>
        <v>8</v>
      </c>
      <c r="I155" s="3">
        <f>ROUND((F155*0.95)*0.1,-1)</f>
        <v>160</v>
      </c>
      <c r="J155" s="23" t="s">
        <v>564</v>
      </c>
      <c r="K155" s="6" t="s">
        <v>556</v>
      </c>
      <c r="L155" s="2" t="s">
        <v>580</v>
      </c>
      <c r="M155" s="2" t="s">
        <v>566</v>
      </c>
      <c r="N155" s="2" t="s">
        <v>204</v>
      </c>
      <c r="O155" s="2"/>
      <c r="P155" s="26" t="s">
        <v>42</v>
      </c>
      <c r="Q155" s="27" t="s">
        <v>566</v>
      </c>
      <c r="S155" s="38" t="s">
        <v>388</v>
      </c>
    </row>
    <row r="156" spans="1:42" ht="15" customHeight="1">
      <c r="A156" s="49" t="s">
        <v>581</v>
      </c>
      <c r="B156" s="49"/>
      <c r="C156" s="49"/>
      <c r="D156" s="49"/>
      <c r="E156" s="49"/>
      <c r="F156" s="49"/>
      <c r="G156" s="49"/>
      <c r="H156" s="49"/>
      <c r="I156" s="49"/>
      <c r="J156" s="49"/>
      <c r="K156" s="49"/>
      <c r="L156" s="49"/>
      <c r="M156" s="49"/>
      <c r="N156" s="49"/>
      <c r="O156" s="49"/>
      <c r="P156" s="49"/>
      <c r="Q156" s="49"/>
      <c r="R156" s="49"/>
    </row>
    <row r="157" spans="1:42" ht="90">
      <c r="A157" s="1">
        <f ca="1">OFFSET(A156,-1,0)+1</f>
        <v>126</v>
      </c>
      <c r="B157" s="1">
        <v>60201</v>
      </c>
      <c r="C157" s="1" t="s">
        <v>582</v>
      </c>
      <c r="D157" s="44" t="s">
        <v>76</v>
      </c>
      <c r="E157" s="44" t="s">
        <v>137</v>
      </c>
      <c r="F157" s="3">
        <v>3000</v>
      </c>
      <c r="G157" s="3"/>
      <c r="H157" s="3">
        <f>ROUND((F157*0.95)*0.01,0)</f>
        <v>29</v>
      </c>
      <c r="I157" s="3">
        <f>ROUND((F157*0.95)*0.04,-1)</f>
        <v>110</v>
      </c>
      <c r="J157" s="23" t="s">
        <v>583</v>
      </c>
      <c r="K157" s="6" t="s">
        <v>584</v>
      </c>
      <c r="L157" s="2" t="s">
        <v>585</v>
      </c>
      <c r="M157" s="2" t="s">
        <v>495</v>
      </c>
      <c r="N157" s="2" t="s">
        <v>586</v>
      </c>
      <c r="O157" s="2" t="s">
        <v>587</v>
      </c>
      <c r="P157" s="26" t="s">
        <v>495</v>
      </c>
      <c r="Q157" s="26" t="s">
        <v>42</v>
      </c>
      <c r="S157" s="38" t="s">
        <v>388</v>
      </c>
    </row>
    <row r="158" spans="1:42" ht="90">
      <c r="A158" s="1">
        <f ca="1">A157+1</f>
        <v>127</v>
      </c>
      <c r="B158" s="1">
        <v>60301</v>
      </c>
      <c r="C158" s="1" t="s">
        <v>588</v>
      </c>
      <c r="D158" s="44" t="s">
        <v>76</v>
      </c>
      <c r="E158" s="44" t="s">
        <v>251</v>
      </c>
      <c r="F158" s="3">
        <v>125</v>
      </c>
      <c r="G158" s="3"/>
      <c r="H158" s="11">
        <f>ROUND((F158*0.95)*0.01,1)</f>
        <v>1.2</v>
      </c>
      <c r="I158" s="11">
        <f>ROUND((F158*0.95)*0.04,1)</f>
        <v>4.8</v>
      </c>
      <c r="J158" s="23" t="s">
        <v>583</v>
      </c>
      <c r="K158" s="6" t="s">
        <v>589</v>
      </c>
      <c r="L158" s="2" t="s">
        <v>590</v>
      </c>
      <c r="M158" s="2" t="s">
        <v>591</v>
      </c>
      <c r="N158" s="2" t="s">
        <v>592</v>
      </c>
      <c r="O158" s="2"/>
      <c r="P158" s="27" t="s">
        <v>591</v>
      </c>
      <c r="Q158" s="26" t="s">
        <v>42</v>
      </c>
      <c r="S158" s="38" t="s">
        <v>388</v>
      </c>
    </row>
    <row r="159" spans="1:42" ht="90">
      <c r="A159" s="1">
        <f ca="1">A158+1</f>
        <v>128</v>
      </c>
      <c r="B159" s="1">
        <v>60302</v>
      </c>
      <c r="C159" s="1" t="s">
        <v>593</v>
      </c>
      <c r="D159" s="44" t="s">
        <v>76</v>
      </c>
      <c r="E159" s="44" t="s">
        <v>251</v>
      </c>
      <c r="F159" s="3">
        <v>125</v>
      </c>
      <c r="G159" s="3"/>
      <c r="H159" s="11">
        <f>ROUND((F159*0.95)*0.01,1)</f>
        <v>1.2</v>
      </c>
      <c r="I159" s="11">
        <f>ROUND((F159*0.95)*0.04,1)</f>
        <v>4.8</v>
      </c>
      <c r="J159" s="23" t="s">
        <v>583</v>
      </c>
      <c r="K159" s="6" t="s">
        <v>584</v>
      </c>
      <c r="L159" s="2" t="s">
        <v>594</v>
      </c>
      <c r="M159" s="2" t="s">
        <v>591</v>
      </c>
      <c r="N159" s="2" t="s">
        <v>595</v>
      </c>
      <c r="O159" s="2"/>
      <c r="P159" s="27" t="s">
        <v>591</v>
      </c>
      <c r="Q159" s="26" t="s">
        <v>42</v>
      </c>
      <c r="S159" s="38" t="s">
        <v>388</v>
      </c>
    </row>
    <row r="160" spans="1:42" ht="51.75">
      <c r="A160" s="1">
        <f ca="1">A159+1</f>
        <v>129</v>
      </c>
      <c r="B160" s="1">
        <v>60401</v>
      </c>
      <c r="C160" s="1" t="s">
        <v>596</v>
      </c>
      <c r="D160" s="44" t="s">
        <v>76</v>
      </c>
      <c r="E160" s="44" t="s">
        <v>251</v>
      </c>
      <c r="F160" s="3">
        <v>33</v>
      </c>
      <c r="G160" s="3"/>
      <c r="H160" s="48" t="s">
        <v>24</v>
      </c>
      <c r="I160" s="48"/>
      <c r="J160" s="22"/>
      <c r="K160" s="6" t="s">
        <v>584</v>
      </c>
      <c r="L160" s="2" t="s">
        <v>597</v>
      </c>
      <c r="M160" s="2" t="s">
        <v>598</v>
      </c>
      <c r="N160" s="2" t="s">
        <v>599</v>
      </c>
      <c r="O160" s="2"/>
      <c r="P160" s="27" t="s">
        <v>495</v>
      </c>
      <c r="Q160" s="26" t="s">
        <v>42</v>
      </c>
      <c r="S160" s="38" t="s">
        <v>388</v>
      </c>
    </row>
    <row r="161" spans="1:19" ht="64.5">
      <c r="A161" s="1">
        <f ca="1">A160+1</f>
        <v>130</v>
      </c>
      <c r="B161" s="1">
        <v>60402</v>
      </c>
      <c r="C161" s="1" t="s">
        <v>600</v>
      </c>
      <c r="D161" s="44" t="s">
        <v>76</v>
      </c>
      <c r="E161" s="44" t="s">
        <v>251</v>
      </c>
      <c r="F161" s="3">
        <v>30</v>
      </c>
      <c r="G161" s="3"/>
      <c r="H161" s="48" t="s">
        <v>24</v>
      </c>
      <c r="I161" s="48"/>
      <c r="J161" s="22"/>
      <c r="K161" s="6" t="s">
        <v>584</v>
      </c>
      <c r="L161" s="2" t="s">
        <v>601</v>
      </c>
      <c r="M161" s="2" t="s">
        <v>598</v>
      </c>
      <c r="N161" s="2" t="s">
        <v>602</v>
      </c>
      <c r="O161" s="2" t="s">
        <v>603</v>
      </c>
      <c r="P161" s="27" t="s">
        <v>604</v>
      </c>
      <c r="Q161" s="26" t="s">
        <v>42</v>
      </c>
      <c r="S161" s="38" t="s">
        <v>388</v>
      </c>
    </row>
    <row r="162" spans="1:19" ht="15" customHeight="1">
      <c r="A162" s="53" t="s">
        <v>605</v>
      </c>
      <c r="B162" s="53"/>
      <c r="C162" s="53"/>
      <c r="D162" s="53"/>
      <c r="E162" s="53"/>
      <c r="F162" s="53"/>
      <c r="G162" s="53"/>
      <c r="H162" s="53"/>
      <c r="I162" s="53"/>
      <c r="J162" s="53"/>
      <c r="K162" s="53"/>
      <c r="L162" s="53"/>
      <c r="M162" s="53"/>
      <c r="N162" s="53"/>
      <c r="O162" s="53"/>
      <c r="P162" s="53"/>
      <c r="Q162" s="53"/>
      <c r="R162" s="53"/>
    </row>
    <row r="163" spans="1:19" ht="39">
      <c r="A163" s="1">
        <f ca="1">OFFSET(A162,-1,0)+1</f>
        <v>131</v>
      </c>
      <c r="B163" s="1">
        <v>70001</v>
      </c>
      <c r="C163" s="1" t="s">
        <v>606</v>
      </c>
      <c r="D163" s="44" t="s">
        <v>76</v>
      </c>
      <c r="E163" s="44" t="s">
        <v>251</v>
      </c>
      <c r="F163" s="3">
        <v>500</v>
      </c>
      <c r="G163" s="3"/>
      <c r="H163" s="48" t="s">
        <v>24</v>
      </c>
      <c r="I163" s="48"/>
      <c r="J163" s="22"/>
      <c r="K163" s="6" t="s">
        <v>607</v>
      </c>
      <c r="L163" s="2" t="s">
        <v>608</v>
      </c>
      <c r="M163" s="2" t="s">
        <v>609</v>
      </c>
      <c r="N163" s="2"/>
      <c r="O163" s="2"/>
      <c r="P163" s="26" t="s">
        <v>42</v>
      </c>
      <c r="S163" s="38" t="s">
        <v>388</v>
      </c>
    </row>
    <row r="164" spans="1:19" ht="64.5">
      <c r="A164" s="1">
        <f t="shared" ref="A164:A169" ca="1" si="19">A163+1</f>
        <v>132</v>
      </c>
      <c r="B164" s="1">
        <v>70002</v>
      </c>
      <c r="C164" s="1" t="s">
        <v>610</v>
      </c>
      <c r="D164" s="44" t="s">
        <v>76</v>
      </c>
      <c r="E164" s="44" t="s">
        <v>251</v>
      </c>
      <c r="F164" s="3">
        <v>3000</v>
      </c>
      <c r="G164" s="3"/>
      <c r="H164" s="3">
        <f>ROUND(0.02*1701,-1)</f>
        <v>30</v>
      </c>
      <c r="I164" s="3">
        <f>ROUND(0.04*1701,-1)</f>
        <v>70</v>
      </c>
      <c r="J164" s="22" t="s">
        <v>611</v>
      </c>
      <c r="K164" s="6" t="s">
        <v>612</v>
      </c>
      <c r="L164" s="2" t="s">
        <v>613</v>
      </c>
      <c r="M164" s="2" t="s">
        <v>614</v>
      </c>
      <c r="N164" s="2"/>
      <c r="O164" s="2"/>
      <c r="P164" s="26" t="s">
        <v>42</v>
      </c>
      <c r="S164" s="38" t="s">
        <v>388</v>
      </c>
    </row>
    <row r="165" spans="1:19" ht="39">
      <c r="A165" s="1">
        <f t="shared" ca="1" si="19"/>
        <v>133</v>
      </c>
      <c r="B165" s="1">
        <v>70003</v>
      </c>
      <c r="C165" s="1" t="s">
        <v>615</v>
      </c>
      <c r="D165" s="44" t="s">
        <v>76</v>
      </c>
      <c r="E165" s="44" t="s">
        <v>24</v>
      </c>
      <c r="F165" s="3">
        <v>15</v>
      </c>
      <c r="G165" s="3"/>
      <c r="H165" s="48" t="s">
        <v>24</v>
      </c>
      <c r="I165" s="48"/>
      <c r="J165" s="22"/>
      <c r="K165" s="6" t="s">
        <v>612</v>
      </c>
      <c r="L165" s="2" t="s">
        <v>616</v>
      </c>
      <c r="M165" s="2" t="s">
        <v>614</v>
      </c>
      <c r="N165" s="2"/>
      <c r="O165" s="2"/>
      <c r="P165" s="26" t="s">
        <v>42</v>
      </c>
      <c r="S165" s="38" t="s">
        <v>388</v>
      </c>
    </row>
    <row r="166" spans="1:19" ht="64.5">
      <c r="A166" s="1">
        <f t="shared" ca="1" si="19"/>
        <v>134</v>
      </c>
      <c r="B166" s="1">
        <v>70004</v>
      </c>
      <c r="C166" s="1" t="s">
        <v>617</v>
      </c>
      <c r="D166" s="44" t="s">
        <v>76</v>
      </c>
      <c r="E166" s="44" t="s">
        <v>24</v>
      </c>
      <c r="F166" s="3">
        <v>25</v>
      </c>
      <c r="G166" s="3"/>
      <c r="H166" s="48" t="s">
        <v>24</v>
      </c>
      <c r="I166" s="48"/>
      <c r="J166" s="22"/>
      <c r="K166" s="6" t="s">
        <v>612</v>
      </c>
      <c r="L166" s="2" t="s">
        <v>618</v>
      </c>
      <c r="M166" s="2" t="s">
        <v>619</v>
      </c>
      <c r="N166" s="2"/>
      <c r="O166" s="2"/>
      <c r="P166" s="26" t="s">
        <v>42</v>
      </c>
      <c r="S166" s="38" t="s">
        <v>388</v>
      </c>
    </row>
    <row r="167" spans="1:19" ht="64.5">
      <c r="A167" s="1">
        <f t="shared" ca="1" si="19"/>
        <v>135</v>
      </c>
      <c r="B167" s="1">
        <v>70005</v>
      </c>
      <c r="C167" s="1" t="s">
        <v>620</v>
      </c>
      <c r="D167" s="44" t="s">
        <v>76</v>
      </c>
      <c r="E167" s="44" t="s">
        <v>24</v>
      </c>
      <c r="F167" s="3">
        <v>25</v>
      </c>
      <c r="G167" s="3"/>
      <c r="H167" s="48" t="s">
        <v>24</v>
      </c>
      <c r="I167" s="48"/>
      <c r="J167" s="22"/>
      <c r="K167" s="6" t="s">
        <v>584</v>
      </c>
      <c r="L167" s="2" t="s">
        <v>621</v>
      </c>
      <c r="M167" s="2" t="s">
        <v>622</v>
      </c>
      <c r="N167" s="2"/>
      <c r="O167" s="2"/>
      <c r="P167" s="26" t="s">
        <v>42</v>
      </c>
      <c r="S167" s="38" t="s">
        <v>388</v>
      </c>
    </row>
    <row r="168" spans="1:19" ht="64.5">
      <c r="A168" s="1">
        <f t="shared" ca="1" si="19"/>
        <v>136</v>
      </c>
      <c r="B168" s="1">
        <v>70006</v>
      </c>
      <c r="C168" s="1" t="s">
        <v>623</v>
      </c>
      <c r="D168" s="44" t="s">
        <v>76</v>
      </c>
      <c r="E168" s="44" t="s">
        <v>251</v>
      </c>
      <c r="F168" s="3">
        <v>61</v>
      </c>
      <c r="G168" s="3"/>
      <c r="H168" s="3">
        <f>F168*0.01</f>
        <v>0.61</v>
      </c>
      <c r="I168" s="3">
        <f>F168*0.03</f>
        <v>1.8299999999999998</v>
      </c>
      <c r="J168" s="23" t="s">
        <v>624</v>
      </c>
      <c r="K168" s="6" t="s">
        <v>584</v>
      </c>
      <c r="L168" s="2" t="s">
        <v>625</v>
      </c>
      <c r="M168" s="2" t="s">
        <v>333</v>
      </c>
      <c r="N168" s="2" t="s">
        <v>626</v>
      </c>
      <c r="O168" s="2" t="s">
        <v>627</v>
      </c>
      <c r="P168" s="26" t="s">
        <v>42</v>
      </c>
      <c r="Q168" s="27" t="s">
        <v>628</v>
      </c>
      <c r="S168" s="38" t="s">
        <v>388</v>
      </c>
    </row>
    <row r="169" spans="1:19" ht="77.25">
      <c r="A169" s="1">
        <f t="shared" ca="1" si="19"/>
        <v>137</v>
      </c>
      <c r="B169" s="1">
        <v>70007</v>
      </c>
      <c r="C169" s="1" t="s">
        <v>629</v>
      </c>
      <c r="D169" s="44" t="s">
        <v>76</v>
      </c>
      <c r="E169" s="44" t="s">
        <v>24</v>
      </c>
      <c r="F169" s="3">
        <v>350</v>
      </c>
      <c r="G169" s="3"/>
      <c r="H169" s="48" t="s">
        <v>24</v>
      </c>
      <c r="I169" s="48"/>
      <c r="J169" s="22"/>
      <c r="K169" s="6" t="s">
        <v>612</v>
      </c>
      <c r="L169" s="2" t="s">
        <v>630</v>
      </c>
      <c r="M169" s="2" t="s">
        <v>631</v>
      </c>
      <c r="N169" s="2" t="s">
        <v>632</v>
      </c>
      <c r="O169" s="2" t="s">
        <v>633</v>
      </c>
      <c r="P169" s="26" t="s">
        <v>42</v>
      </c>
      <c r="Q169" s="27" t="s">
        <v>634</v>
      </c>
      <c r="R169" s="27" t="s">
        <v>631</v>
      </c>
      <c r="S169" s="38" t="s">
        <v>388</v>
      </c>
    </row>
    <row r="170" spans="1:19" ht="15" customHeight="1">
      <c r="A170" s="53" t="s">
        <v>635</v>
      </c>
      <c r="B170" s="53"/>
      <c r="C170" s="53"/>
      <c r="D170" s="53"/>
      <c r="E170" s="53"/>
      <c r="F170" s="53"/>
      <c r="G170" s="53"/>
      <c r="H170" s="53"/>
      <c r="I170" s="53"/>
      <c r="J170" s="53"/>
      <c r="K170" s="53"/>
      <c r="L170" s="53"/>
      <c r="M170" s="53"/>
      <c r="N170" s="53"/>
      <c r="O170" s="53"/>
      <c r="P170" s="53"/>
      <c r="Q170" s="53"/>
      <c r="R170" s="53"/>
    </row>
    <row r="171" spans="1:19" ht="51.75">
      <c r="A171" s="1">
        <f ca="1">OFFSET(A170,-1,0)+1</f>
        <v>138</v>
      </c>
      <c r="B171" s="1">
        <v>80001</v>
      </c>
      <c r="C171" s="1" t="s">
        <v>636</v>
      </c>
      <c r="D171" s="44" t="s">
        <v>76</v>
      </c>
      <c r="E171" s="44" t="s">
        <v>251</v>
      </c>
      <c r="F171" s="3">
        <v>235</v>
      </c>
      <c r="G171" s="3"/>
      <c r="H171" s="3">
        <v>5</v>
      </c>
      <c r="I171" s="3">
        <v>9</v>
      </c>
      <c r="J171" s="22" t="s">
        <v>637</v>
      </c>
      <c r="K171" s="6" t="s">
        <v>612</v>
      </c>
      <c r="L171" s="2" t="s">
        <v>638</v>
      </c>
      <c r="M171" s="2" t="s">
        <v>639</v>
      </c>
      <c r="N171" s="2" t="s">
        <v>640</v>
      </c>
      <c r="O171" s="12" t="s">
        <v>641</v>
      </c>
      <c r="P171" s="26" t="s">
        <v>642</v>
      </c>
      <c r="Q171" s="27" t="s">
        <v>643</v>
      </c>
      <c r="S171" s="38" t="s">
        <v>388</v>
      </c>
    </row>
    <row r="172" spans="1:19" ht="51.75">
      <c r="A172" s="1">
        <f ca="1">A171+1</f>
        <v>139</v>
      </c>
      <c r="B172" s="1">
        <v>80002</v>
      </c>
      <c r="C172" s="1" t="s">
        <v>644</v>
      </c>
      <c r="D172" s="44" t="s">
        <v>76</v>
      </c>
      <c r="E172" s="44" t="s">
        <v>251</v>
      </c>
      <c r="F172" s="3">
        <v>25</v>
      </c>
      <c r="G172" s="3"/>
      <c r="H172" s="48" t="s">
        <v>24</v>
      </c>
      <c r="I172" s="48"/>
      <c r="J172" s="22"/>
      <c r="K172" s="6" t="s">
        <v>612</v>
      </c>
      <c r="L172" s="12" t="s">
        <v>645</v>
      </c>
      <c r="M172" s="2" t="s">
        <v>646</v>
      </c>
      <c r="N172" s="2" t="s">
        <v>24</v>
      </c>
      <c r="O172" s="12" t="s">
        <v>647</v>
      </c>
      <c r="P172" s="26" t="s">
        <v>642</v>
      </c>
      <c r="S172" s="38" t="s">
        <v>388</v>
      </c>
    </row>
    <row r="173" spans="1:19" ht="64.5">
      <c r="A173" s="1">
        <f ca="1">A172+1</f>
        <v>140</v>
      </c>
      <c r="B173">
        <v>80003</v>
      </c>
      <c r="C173" t="s">
        <v>648</v>
      </c>
      <c r="D173" s="44" t="s">
        <v>76</v>
      </c>
      <c r="E173" s="44" t="s">
        <v>251</v>
      </c>
      <c r="F173" s="3">
        <v>150</v>
      </c>
      <c r="G173" s="3"/>
      <c r="H173" s="3">
        <v>3</v>
      </c>
      <c r="I173" s="3">
        <v>6</v>
      </c>
      <c r="J173" s="22" t="s">
        <v>637</v>
      </c>
      <c r="K173" s="6" t="s">
        <v>612</v>
      </c>
      <c r="L173" s="2" t="s">
        <v>649</v>
      </c>
      <c r="M173" s="2" t="s">
        <v>639</v>
      </c>
      <c r="N173" s="2" t="s">
        <v>640</v>
      </c>
      <c r="O173" s="12" t="s">
        <v>641</v>
      </c>
      <c r="P173" s="26" t="s">
        <v>642</v>
      </c>
      <c r="Q173" s="27" t="s">
        <v>643</v>
      </c>
      <c r="S173" s="38" t="s">
        <v>388</v>
      </c>
    </row>
    <row r="174" spans="1:19" ht="39">
      <c r="A174" s="1">
        <f ca="1">A173+1</f>
        <v>141</v>
      </c>
      <c r="B174" s="1">
        <v>80004</v>
      </c>
      <c r="C174" s="1" t="s">
        <v>650</v>
      </c>
      <c r="D174" s="44" t="s">
        <v>76</v>
      </c>
      <c r="E174" s="44" t="s">
        <v>251</v>
      </c>
      <c r="F174" s="3">
        <v>13</v>
      </c>
      <c r="G174" s="3"/>
      <c r="H174" s="48" t="s">
        <v>24</v>
      </c>
      <c r="I174" s="48"/>
      <c r="J174" s="22"/>
      <c r="K174" s="6" t="s">
        <v>584</v>
      </c>
      <c r="L174" s="13" t="s">
        <v>651</v>
      </c>
      <c r="M174" s="2" t="s">
        <v>639</v>
      </c>
      <c r="N174" s="2" t="s">
        <v>24</v>
      </c>
      <c r="O174" s="12" t="s">
        <v>652</v>
      </c>
      <c r="P174" s="26" t="s">
        <v>642</v>
      </c>
      <c r="S174" s="38" t="s">
        <v>388</v>
      </c>
    </row>
    <row r="175" spans="1:19">
      <c r="A175" s="1"/>
      <c r="B175" s="1"/>
      <c r="C175" s="1"/>
      <c r="D175" s="44"/>
      <c r="E175" s="44"/>
      <c r="F175" s="1"/>
      <c r="G175" s="1"/>
      <c r="H175" s="1"/>
      <c r="I175" s="1"/>
      <c r="J175" s="20"/>
      <c r="K175" s="7"/>
      <c r="L175" s="2"/>
      <c r="M175" s="2"/>
      <c r="N175" s="2"/>
      <c r="O175" s="2"/>
      <c r="P175" s="2"/>
    </row>
    <row r="176" spans="1:19">
      <c r="A176" s="1"/>
      <c r="B176" s="1"/>
      <c r="C176" s="1"/>
      <c r="D176" s="44"/>
      <c r="E176" s="44"/>
      <c r="F176" s="1"/>
      <c r="G176" s="1"/>
      <c r="H176" s="1"/>
      <c r="I176" s="1"/>
      <c r="J176" s="20"/>
      <c r="K176" s="7"/>
      <c r="L176" s="2"/>
      <c r="M176" s="2"/>
      <c r="N176" s="2"/>
      <c r="O176" s="2"/>
      <c r="P176" s="2"/>
    </row>
    <row r="177" spans="1:16" hidden="1">
      <c r="A177" s="1"/>
      <c r="B177" s="1"/>
      <c r="C177" s="1"/>
      <c r="D177" s="44"/>
      <c r="E177" s="44"/>
      <c r="F177" s="1"/>
      <c r="G177" s="16" t="s">
        <v>653</v>
      </c>
      <c r="H177" s="3" cm="1">
        <f t="array" ref="H177">ROUND(SUMPRODUCT(H$4:H$175,--($D$4:$D$175&lt;&gt;"Loans")),-1)</f>
        <v>10840</v>
      </c>
      <c r="I177" s="3" cm="1">
        <f t="array" ref="I177">ROUND(SUMPRODUCT(I$4:I$175,--($D$4:$D$175&lt;&gt;"Loans")),-1)</f>
        <v>21580</v>
      </c>
      <c r="J177" s="20"/>
      <c r="K177" s="7"/>
      <c r="L177" s="2"/>
      <c r="M177" s="2"/>
      <c r="N177" s="2"/>
      <c r="O177" s="2"/>
      <c r="P177" s="2"/>
    </row>
    <row r="178" spans="1:16" hidden="1">
      <c r="A178" s="1"/>
      <c r="B178" s="1"/>
      <c r="C178" s="1"/>
      <c r="D178" s="44"/>
      <c r="E178" s="44"/>
      <c r="F178" s="1"/>
      <c r="G178" s="16" t="s">
        <v>654</v>
      </c>
      <c r="H178" s="3" cm="1">
        <f t="array" ref="H178">ROUND(SUMPRODUCT(H$4:H$175,--($D$4:$D$175="Tax Credit")),-2)</f>
        <v>7200</v>
      </c>
      <c r="I178" s="3" cm="1">
        <f t="array" ref="I178">ROUND(SUMPRODUCT(I$4:I$175,--($D$4:$D$175="Tax Credit")),-2)</f>
        <v>13700</v>
      </c>
      <c r="J178" s="20"/>
      <c r="K178" s="7"/>
      <c r="L178" s="2"/>
      <c r="M178" s="2"/>
      <c r="N178" s="2"/>
      <c r="O178" s="2"/>
      <c r="P178" s="2"/>
    </row>
    <row r="179" spans="1:16" hidden="1">
      <c r="A179" s="1"/>
      <c r="B179" s="1"/>
      <c r="C179" s="1"/>
      <c r="D179" s="44"/>
      <c r="E179" s="44"/>
      <c r="F179" s="1"/>
      <c r="G179" s="16" t="s">
        <v>655</v>
      </c>
      <c r="H179" s="3" cm="1">
        <f t="array" ref="H179">ROUND(SUMPRODUCT(H$4:H$175,--($D$4:$D$175="Tax Credit")),-2)-H$28</f>
        <v>4600</v>
      </c>
      <c r="I179" s="3" cm="1">
        <f t="array" ref="I179">ROUND(SUMPRODUCT(I$4:I$175,--($D$4:$D$175="Tax Credit")),-2)-I$28</f>
        <v>10500</v>
      </c>
      <c r="J179" s="20"/>
      <c r="K179" s="7"/>
      <c r="L179" s="2"/>
      <c r="M179" s="2"/>
      <c r="N179" s="2"/>
      <c r="O179" s="2"/>
      <c r="P179" s="2"/>
    </row>
    <row r="180" spans="1:16" hidden="1">
      <c r="A180" s="1"/>
      <c r="B180" s="1"/>
      <c r="C180" s="1"/>
      <c r="D180" s="44"/>
      <c r="E180" s="44"/>
      <c r="F180" s="1"/>
      <c r="G180" s="16" t="s">
        <v>656</v>
      </c>
      <c r="H180" s="3" cm="1">
        <f t="array" ref="H180">ROUND(SUMPRODUCT(H$4:H$175,--($D$4:$D$175="Spending")),-2)</f>
        <v>2200</v>
      </c>
      <c r="I180" s="3" cm="1">
        <f t="array" ref="I180">ROUND(SUMPRODUCT(I$4:I$175,--($D$4:$D$175="Spending")),-2)</f>
        <v>5200</v>
      </c>
      <c r="J180" s="20"/>
      <c r="K180" s="7"/>
      <c r="L180" s="2"/>
      <c r="M180" s="2"/>
      <c r="N180" s="2"/>
      <c r="O180" s="2"/>
      <c r="P180" s="2"/>
    </row>
    <row r="181" spans="1:16" hidden="1">
      <c r="A181" s="1"/>
      <c r="B181" s="1"/>
      <c r="C181" s="1"/>
      <c r="D181" s="44"/>
      <c r="E181" s="44"/>
      <c r="F181" s="1"/>
      <c r="G181" s="16" t="s">
        <v>657</v>
      </c>
      <c r="H181" s="3" cm="1">
        <f t="array" ref="H181">ROUND(SUMPRODUCT(H$4:H$175,(--($D$4:$D$175="Tax Revenue")+--($D$4:$D$175="Tax Revenue/
Spending"))),-1)</f>
        <v>440</v>
      </c>
      <c r="I181" s="3" cm="1">
        <f t="array" ref="I181">ROUND(SUMPRODUCT(I$4:I$175,(--($D$4:$D$175="Tax Revenue")+--($D$4:$D$175="Tax Revenue/
Spending"))),-1)</f>
        <v>750</v>
      </c>
      <c r="J181" s="20"/>
      <c r="K181" s="7"/>
      <c r="L181" s="2"/>
      <c r="M181" s="2"/>
      <c r="N181" s="2"/>
      <c r="O181" s="2"/>
      <c r="P181" s="2"/>
    </row>
    <row r="182" spans="1:16" hidden="1">
      <c r="A182" s="1"/>
      <c r="B182" s="1"/>
      <c r="C182" s="1"/>
      <c r="D182" s="44"/>
      <c r="E182" s="44"/>
      <c r="F182" s="1"/>
      <c r="G182" s="16" t="s">
        <v>658</v>
      </c>
      <c r="H182" s="3" cm="1">
        <f t="array" ref="H182">ROUND(SUMPRODUCT(H$4:H$175,--($D$4:$D$175="Loans")),-1)</f>
        <v>4010</v>
      </c>
      <c r="I182" s="3" cm="1">
        <f t="array" ref="I182">ROUND(SUMPRODUCT(I$4:I$175,--($D$4:$D$175="Loans")),-1)</f>
        <v>12570</v>
      </c>
      <c r="J182" s="20"/>
      <c r="K182" s="7"/>
      <c r="L182" s="2"/>
      <c r="M182" s="1"/>
      <c r="N182" s="1"/>
      <c r="O182" s="2"/>
      <c r="P182" s="2"/>
    </row>
    <row r="183" spans="1:16" hidden="1">
      <c r="A183" s="1"/>
      <c r="B183" s="1"/>
      <c r="C183" s="1"/>
      <c r="D183" s="44"/>
      <c r="E183" s="44"/>
      <c r="F183" s="1"/>
      <c r="G183" s="16" t="s">
        <v>659</v>
      </c>
      <c r="H183" s="3" cm="1">
        <f t="array" ref="H183">ROUND(SUMPRODUCT(H$4:H$175,(--($E$4:$E$175="Competitive")+(--($E$4:$E$175="Formula or Competitive, TBD"))+(--($E$4:$E$175="Formula/Competitive")))),-1)</f>
        <v>5730</v>
      </c>
      <c r="I183" s="3" cm="1">
        <f t="array" ref="I183">ROUND(SUMPRODUCT(I$4:I$175,(--($E$4:$E$175="Competitive")+(--($E$4:$E$175="Formula or Competitive, TBD"))+(--($E$4:$E$175="Formula/Competitive")))),-1)</f>
        <v>16880</v>
      </c>
      <c r="J183" s="20"/>
      <c r="K183" s="7"/>
      <c r="L183" s="2"/>
      <c r="M183" s="1"/>
      <c r="N183" s="1"/>
      <c r="O183" s="2"/>
      <c r="P183" s="2"/>
    </row>
    <row r="184" spans="1:16" hidden="1">
      <c r="A184" s="1"/>
      <c r="B184" s="1"/>
      <c r="C184" s="1"/>
      <c r="D184" s="44"/>
      <c r="E184" s="45"/>
      <c r="H184" s="1"/>
      <c r="I184" s="1"/>
      <c r="J184" s="20"/>
      <c r="K184" s="7"/>
      <c r="L184" s="2"/>
      <c r="M184" s="1"/>
      <c r="N184" s="1"/>
      <c r="O184" s="2"/>
      <c r="P184" s="2"/>
    </row>
    <row r="185" spans="1:16" hidden="1">
      <c r="A185" s="1"/>
      <c r="B185" s="1"/>
      <c r="C185" s="1"/>
      <c r="D185" s="44"/>
      <c r="E185" s="16" t="s">
        <v>660</v>
      </c>
      <c r="F185" s="3" cm="1">
        <f t="array" ref="F185">ROUND(SUMPRODUCT(F$4:F$175,--($D$4:$D$175&lt;&gt;"Loans")),-1)</f>
        <v>576330</v>
      </c>
      <c r="G185" s="3" cm="1">
        <f t="array" ref="G185">ROUND(SUMPRODUCT(G$4:G$175,--($D$4:$D$175&lt;&gt;"Loans")),-1)</f>
        <v>-873640</v>
      </c>
      <c r="H185" s="1"/>
      <c r="I185" s="1"/>
      <c r="J185" s="20"/>
      <c r="K185" s="7"/>
      <c r="L185" s="2"/>
      <c r="M185" s="1"/>
      <c r="N185" s="1"/>
      <c r="O185" s="1"/>
      <c r="P185" s="2"/>
    </row>
    <row r="186" spans="1:16" hidden="1">
      <c r="A186" s="1"/>
      <c r="B186" s="1"/>
      <c r="C186" s="1"/>
      <c r="D186" s="44"/>
      <c r="E186" s="16" t="s">
        <v>661</v>
      </c>
      <c r="F186" s="3" cm="1">
        <f t="array" ref="F186">ROUND(SUMPRODUCT(F$4:F$175,--($D$4:$D$175="Tax Credit")),-1)</f>
        <v>334920</v>
      </c>
      <c r="G186" s="3" cm="1">
        <f t="array" ref="G186">ROUND(SUMPRODUCT(G$4:G$175,--($D$4:$D$175="Tax Credit")),-1)</f>
        <v>0</v>
      </c>
      <c r="H186" s="1"/>
      <c r="I186" s="1"/>
      <c r="J186" s="20"/>
      <c r="K186" s="7"/>
      <c r="L186" s="2"/>
      <c r="M186" s="1"/>
      <c r="N186" s="1"/>
      <c r="O186" s="1"/>
      <c r="P186" s="2"/>
    </row>
    <row r="187" spans="1:16" hidden="1">
      <c r="A187" s="1"/>
      <c r="B187" s="1"/>
      <c r="C187" s="1"/>
      <c r="D187" s="44"/>
      <c r="E187" s="16" t="s">
        <v>662</v>
      </c>
      <c r="F187" s="3" cm="1">
        <f t="array" ref="F187">ROUND(SUMPRODUCT(F$4:F$175,--($D$4:$D$175="Tax Credit")),-2)-F$28</f>
        <v>270842</v>
      </c>
      <c r="G187" s="3" cm="1">
        <f t="array" ref="G187">ROUND(SUMPRODUCT(G$4:G$175,--($D$4:$D$175="Tax Credit")),-2)-G$28</f>
        <v>0</v>
      </c>
      <c r="H187" s="1"/>
      <c r="I187" s="1"/>
      <c r="J187" s="20"/>
      <c r="K187" s="7"/>
      <c r="L187" s="2"/>
      <c r="M187" s="1"/>
      <c r="N187" s="1"/>
      <c r="O187" s="1"/>
      <c r="P187" s="2"/>
    </row>
    <row r="188" spans="1:16" hidden="1">
      <c r="A188" s="1"/>
      <c r="B188" s="1"/>
      <c r="C188" s="1"/>
      <c r="D188" s="44"/>
      <c r="E188" s="16" t="s">
        <v>663</v>
      </c>
      <c r="F188" s="3" cm="1">
        <f t="array" ref="F188">ROUND(SUMPRODUCT(F$4:F$175,(--($D$4:$D$175="Spending")+(--($D$4:$D$175="Spending Reduction")))),-1)</f>
        <v>137540</v>
      </c>
      <c r="G188" s="3" cm="1">
        <f t="array" ref="G188">ROUND(SUMPRODUCT(G$4:G$175,(--($D$4:$D$175="Spending")+(--($D$4:$D$175="Spending Reduction")))),-1)</f>
        <v>-6370</v>
      </c>
      <c r="H188" s="1"/>
      <c r="I188" s="1"/>
      <c r="J188" s="20"/>
      <c r="K188" s="7"/>
      <c r="L188" s="2"/>
      <c r="M188" s="1"/>
      <c r="N188" s="1"/>
      <c r="O188" s="1"/>
      <c r="P188" s="2"/>
    </row>
    <row r="189" spans="1:16" hidden="1">
      <c r="A189" s="1"/>
      <c r="B189" s="1"/>
      <c r="C189" s="1"/>
      <c r="D189" s="44"/>
      <c r="E189" s="16" t="s">
        <v>664</v>
      </c>
      <c r="F189" s="3" cm="1">
        <f t="array" ref="F189">ROUND(SUMPRODUCT(F$4:F$175,(--($D$4:$D$175="Tax Revenue")+--($D$4:$D$175="Tax Revenue/
Spending"))),-1)</f>
        <v>91300</v>
      </c>
      <c r="G189" s="3" cm="1">
        <f t="array" ref="G189">ROUND(SUMPRODUCT(G$4:G$175,(--($D$4:$D$175="Tax Revenue")+--($D$4:$D$175="Tax Revenue/
Spending"))),-1)</f>
        <v>-541970</v>
      </c>
      <c r="H189" s="1"/>
      <c r="I189" s="1"/>
      <c r="J189" s="20"/>
      <c r="K189" s="7"/>
      <c r="L189" s="2"/>
      <c r="M189" s="1"/>
      <c r="N189" s="1"/>
      <c r="O189" s="1"/>
      <c r="P189" s="2"/>
    </row>
    <row r="190" spans="1:16" hidden="1">
      <c r="A190" s="1"/>
      <c r="B190" s="1"/>
      <c r="C190" s="1"/>
      <c r="D190" s="44"/>
      <c r="E190" s="16" t="s">
        <v>665</v>
      </c>
      <c r="F190" s="3" cm="1">
        <f t="array" ref="F190">ROUND(SUMPRODUCT(F$4:F$175,(--($E$4:$E$175="Competitive")+(--($E$4:$E$175="Formula or Competitive, TBD"))+(--($E$4:$E$175="Formula/Competitive"))+(--($E$4:$E$175="Discretionary/Competitive")))),-2)</f>
        <v>382800</v>
      </c>
      <c r="G190" s="1"/>
      <c r="H190" s="1"/>
      <c r="I190" s="1"/>
      <c r="J190" s="20"/>
      <c r="K190" s="7"/>
      <c r="L190" s="2"/>
      <c r="M190" s="1"/>
      <c r="N190" s="1"/>
      <c r="O190" s="1"/>
      <c r="P190" s="2"/>
    </row>
    <row r="191" spans="1:16" hidden="1">
      <c r="A191" s="1"/>
      <c r="B191" s="1"/>
      <c r="C191" s="1"/>
      <c r="D191" s="44"/>
      <c r="E191" s="16" t="s">
        <v>666</v>
      </c>
      <c r="F191" s="32" cm="1">
        <f t="array" ref="F191">ROUND(SUMPRODUCT((--($E$4:$E$175="Competitive")+(--($E$4:$E$175="Formula or Competitive, TBD"))+(--($E$4:$E$175="Formula/Competitive"))+(--($E$4:$E$175="Discretionary/Competitive")))),0)</f>
        <v>30</v>
      </c>
      <c r="G191" s="1"/>
      <c r="H191" s="1"/>
      <c r="I191" s="1"/>
      <c r="J191" s="20"/>
      <c r="K191" s="7"/>
      <c r="L191" s="2"/>
      <c r="M191" s="1"/>
      <c r="N191" s="1"/>
      <c r="O191" s="1"/>
      <c r="P191" s="2"/>
    </row>
    <row r="192" spans="1:16" hidden="1">
      <c r="A192" s="1"/>
      <c r="B192" s="1"/>
      <c r="C192" s="1"/>
      <c r="D192" s="44"/>
      <c r="E192" s="16" t="s">
        <v>667</v>
      </c>
      <c r="F192" s="3" cm="1">
        <f t="array" ref="F192">ROUND(SUMPRODUCT(F$4:F$175,--($D$4:$D$175="Loans")),-1)</f>
        <v>315000</v>
      </c>
      <c r="G192" s="1"/>
      <c r="H192" s="1"/>
      <c r="I192" s="1"/>
      <c r="J192" s="20"/>
      <c r="K192" s="7"/>
      <c r="L192" s="2"/>
      <c r="M192" s="1"/>
      <c r="N192" s="1"/>
      <c r="O192" s="1"/>
      <c r="P192" s="2"/>
    </row>
    <row r="193" spans="1:16" hidden="1">
      <c r="A193" s="1"/>
      <c r="B193" s="1"/>
      <c r="C193" s="1"/>
      <c r="D193" s="44"/>
      <c r="E193" s="44"/>
      <c r="F193" s="1"/>
      <c r="G193" s="1"/>
      <c r="H193" s="1"/>
      <c r="I193" s="1"/>
      <c r="J193" s="20"/>
      <c r="K193" s="7"/>
      <c r="L193" s="2"/>
      <c r="M193" s="1"/>
      <c r="N193" s="1"/>
      <c r="O193" s="1"/>
      <c r="P193" s="2"/>
    </row>
    <row r="194" spans="1:16" hidden="1">
      <c r="A194" s="1"/>
      <c r="B194" s="1"/>
      <c r="C194" s="1"/>
      <c r="D194" s="44"/>
      <c r="E194" s="44"/>
      <c r="F194" s="1"/>
      <c r="G194" s="1"/>
      <c r="H194" s="1"/>
      <c r="I194" s="1"/>
      <c r="J194" s="20"/>
      <c r="K194" s="7"/>
      <c r="L194" s="2"/>
      <c r="M194" s="1"/>
      <c r="N194" s="1"/>
      <c r="O194" s="1"/>
      <c r="P194" s="2"/>
    </row>
    <row r="195" spans="1:16" hidden="1">
      <c r="A195" s="1"/>
      <c r="B195" s="1"/>
      <c r="C195" s="1"/>
      <c r="D195" s="44"/>
      <c r="E195" s="44"/>
      <c r="F195" s="1"/>
      <c r="G195" s="1"/>
      <c r="H195" s="1"/>
      <c r="I195" s="1"/>
      <c r="J195" s="20"/>
      <c r="K195" s="7"/>
      <c r="L195" s="2"/>
      <c r="M195" s="1"/>
      <c r="N195" s="1"/>
      <c r="O195" s="1"/>
      <c r="P195" s="2"/>
    </row>
    <row r="196" spans="1:16" hidden="1">
      <c r="A196" s="1"/>
      <c r="B196" s="1"/>
      <c r="C196" s="1"/>
      <c r="D196" s="44"/>
      <c r="E196" s="44"/>
      <c r="F196" s="1"/>
      <c r="G196" s="1"/>
      <c r="H196" s="1"/>
      <c r="I196" s="1"/>
      <c r="J196" s="20"/>
      <c r="K196" s="7"/>
      <c r="L196" s="2"/>
      <c r="M196" s="1"/>
      <c r="N196" s="1"/>
      <c r="O196" s="1"/>
      <c r="P196" s="2"/>
    </row>
    <row r="197" spans="1:16" hidden="1">
      <c r="A197" s="1"/>
      <c r="B197" s="1"/>
      <c r="C197" s="1"/>
      <c r="D197" s="44"/>
      <c r="E197" s="44"/>
      <c r="F197" s="1"/>
      <c r="G197" s="33" t="str" cm="1">
        <f t="array" ref="G197">INDEX(C$31:C$174,SMALL(IF(I$31:I$174=I197,ROW(I$31:I$174)-ROW(INDEX(I$31:I$174,1,1))+1),IF(I197=I196,2,1)))</f>
        <v>Energy Infrastructure Reinvestment Financing</v>
      </c>
      <c r="H197" s="3" cm="1">
        <f t="array" ref="H197">INDEX(H$31:H$174,SMALL(IF(I$31:I$174=I197,ROW(I$31:I$174)-ROW(INDEX(I$31:I$174,1,1))+1),IF(I197=I196,2,1)))</f>
        <v>3600</v>
      </c>
      <c r="I197" s="3">
        <f>LARGE(I$31:I$174,ROWS($197:197))</f>
        <v>9500</v>
      </c>
      <c r="J197" s="20"/>
      <c r="K197" s="7"/>
      <c r="L197" s="2"/>
      <c r="M197" s="1"/>
      <c r="N197" s="1"/>
      <c r="O197" s="1"/>
      <c r="P197" s="2"/>
    </row>
    <row r="198" spans="1:16" hidden="1">
      <c r="A198" s="1"/>
      <c r="B198" s="1"/>
      <c r="C198" s="1"/>
      <c r="D198" s="44"/>
      <c r="E198" s="44"/>
      <c r="F198" s="1"/>
      <c r="G198" s="33" t="str" cm="1">
        <f t="array" ref="G198">INDEX(C$31:C$174,SMALL(IF(I$31:I$174=I198,ROW(I$31:I$174)-ROW(INDEX(I$31:I$174,1,1))+1),IF(I198=I197,2,1)))</f>
        <v>Zero-Emission Nuclear Power Production Credit</v>
      </c>
      <c r="H198" s="3" cm="1">
        <f t="array" ref="H198">INDEX(H$31:H$174,SMALL(IF(I$31:I$174=I198,ROW(I$31:I$174)-ROW(INDEX(I$31:I$174,1,1))+1),IF(I198=I197,2,1)))</f>
        <v>1200</v>
      </c>
      <c r="I198" s="3">
        <f>LARGE(I$31:I$174,ROWS($197:198))</f>
        <v>1900</v>
      </c>
      <c r="J198" s="20"/>
      <c r="K198" s="7"/>
      <c r="L198" s="2"/>
      <c r="M198" s="1"/>
      <c r="N198" s="1"/>
      <c r="O198" s="1"/>
      <c r="P198" s="2"/>
    </row>
    <row r="199" spans="1:16" hidden="1">
      <c r="A199" s="1"/>
      <c r="B199" s="1"/>
      <c r="C199" s="1"/>
      <c r="D199" s="44"/>
      <c r="E199" s="44"/>
      <c r="F199" s="1"/>
      <c r="G199" s="33" t="str" cm="1">
        <f t="array" ref="G199">INDEX(C$31:C$174,SMALL(IF(I$31:I$174=I199,ROW(I$31:I$174)-ROW(INDEX(I$31:I$174,1,1))+1),IF(I199=I198,2,1)))</f>
        <v>Funding for DOE Loan Programs Office</v>
      </c>
      <c r="H199" s="3" cm="1">
        <f t="array" ref="H199">INDEX(H$31:H$174,SMALL(IF(I$31:I$174=I199,ROW(I$31:I$174)-ROW(INDEX(I$31:I$174,1,1))+1),IF(I199=I198,2,1)))</f>
        <v>380</v>
      </c>
      <c r="I199" s="3">
        <f>LARGE(I$31:I$174,ROWS($197:199))</f>
        <v>1900</v>
      </c>
      <c r="J199" s="20"/>
      <c r="K199" s="7"/>
      <c r="L199" s="2"/>
      <c r="M199" s="1"/>
      <c r="N199" s="1"/>
      <c r="O199" s="1"/>
      <c r="P199" s="2"/>
    </row>
    <row r="200" spans="1:16" hidden="1">
      <c r="A200" s="1"/>
      <c r="B200" s="1"/>
      <c r="C200" s="1"/>
      <c r="D200" s="44"/>
      <c r="E200" s="44"/>
      <c r="F200" s="1"/>
      <c r="G200" s="33" t="str" cm="1">
        <f t="array" ref="G200">INDEX(C$31:C$174,SMALL(IF(I$31:I$174=I200,ROW(I$31:I$174)-ROW(INDEX(I$31:I$174,1,1))+1),IF(I200=I199,2,1)))</f>
        <v>Extension and Modification of Credit for Electricity Produced from Certain Renewable Resources</v>
      </c>
      <c r="H200" s="3" cm="1">
        <f t="array" ref="H200">INDEX(H$31:H$174,SMALL(IF(I$31:I$174=I200,ROW(I$31:I$174)-ROW(INDEX(I$31:I$174,1,1))+1),IF(I200=I199,2,1)))</f>
        <v>560</v>
      </c>
      <c r="I200" s="3">
        <f>LARGE(I$31:I$174,ROWS($197:200))</f>
        <v>1700</v>
      </c>
      <c r="J200" s="20"/>
      <c r="K200" s="7"/>
      <c r="L200" s="2"/>
      <c r="M200" s="1"/>
      <c r="N200" s="1"/>
      <c r="O200" s="1"/>
      <c r="P200" s="2"/>
    </row>
    <row r="201" spans="1:16" hidden="1">
      <c r="A201" s="1"/>
      <c r="B201" s="1"/>
      <c r="C201" s="1"/>
      <c r="D201" s="44"/>
      <c r="E201" s="44"/>
      <c r="F201" s="1"/>
      <c r="G201" s="33" t="str" cm="1">
        <f t="array" ref="G201">INDEX(C$31:C$174,SMALL(IF(I$31:I$174=I201,ROW(I$31:I$174)-ROW(INDEX(I$31:I$174,1,1))+1),IF(I201=I200,2,1)))</f>
        <v>Clean Electricity Investment Credit</v>
      </c>
      <c r="H201" s="3" cm="1">
        <f t="array" ref="H201">INDEX(H$31:H$174,SMALL(IF(I$31:I$174=I201,ROW(I$31:I$174)-ROW(INDEX(I$31:I$174,1,1))+1),IF(I201=I200,2,1)))</f>
        <v>560</v>
      </c>
      <c r="I201" s="3">
        <f>LARGE(I$31:I$174,ROWS($197:201))</f>
        <v>1700</v>
      </c>
      <c r="J201" s="20"/>
      <c r="K201" s="7"/>
      <c r="L201" s="2"/>
      <c r="M201" s="1"/>
      <c r="N201" s="1"/>
      <c r="O201" s="1"/>
      <c r="P201" s="2"/>
    </row>
    <row r="202" spans="1:16" hidden="1">
      <c r="A202" s="1"/>
      <c r="B202" s="1"/>
      <c r="C202" s="1"/>
      <c r="D202" s="44"/>
      <c r="E202" s="44"/>
      <c r="F202" s="1"/>
      <c r="G202" s="33" t="str" cm="1">
        <f t="array" ref="G202">INDEX(C$31:C$174,SMALL(IF(I$31:I$174=I202,ROW(I$31:I$174)-ROW(INDEX(I$31:I$174,1,1))+1),IF(I202=I201,2,1)))</f>
        <v>USDA Assistance for Rural Electric Cooperatives</v>
      </c>
      <c r="H202" s="3" cm="1">
        <f t="array" ref="H202">INDEX(H$31:H$174,SMALL(IF(I$31:I$174=I202,ROW(I$31:I$174)-ROW(INDEX(I$31:I$174,1,1))+1),IF(I202=I201,2,1)))</f>
        <v>770</v>
      </c>
      <c r="I202" s="3">
        <f>LARGE(I$31:I$174,ROWS($197:202))</f>
        <v>1500</v>
      </c>
      <c r="J202" s="20"/>
      <c r="K202" s="7"/>
      <c r="L202" s="2"/>
      <c r="M202" s="1"/>
      <c r="N202" s="1"/>
      <c r="O202" s="1"/>
      <c r="P202" s="2"/>
    </row>
    <row r="203" spans="1:16" hidden="1">
      <c r="A203" s="1"/>
      <c r="B203" s="1"/>
      <c r="C203" s="1"/>
      <c r="D203" s="44"/>
      <c r="E203" s="44"/>
      <c r="F203" s="1"/>
      <c r="G203" s="33" t="str" cm="1">
        <f t="array" ref="G203">INDEX(C$31:C$174,SMALL(IF(I$31:I$174=I203,ROW(I$31:I$174)-ROW(INDEX(I$31:I$174,1,1))+1),IF(I203=I202,2,1)))</f>
        <v>Advanced Manufacturing Production Credit</v>
      </c>
      <c r="H203" s="3" cm="1">
        <f t="array" ref="H203">INDEX(H$31:H$174,SMALL(IF(I$31:I$174=I203,ROW(I$31:I$174)-ROW(INDEX(I$31:I$174,1,1))+1),IF(I203=I202,2,1)))</f>
        <v>610</v>
      </c>
      <c r="I203" s="3">
        <f>LARGE(I$31:I$174,ROWS($197:203))</f>
        <v>1200</v>
      </c>
      <c r="J203" s="20"/>
      <c r="K203" s="7"/>
      <c r="L203" s="2"/>
      <c r="M203" s="1"/>
      <c r="N203" s="1"/>
      <c r="O203" s="1"/>
      <c r="P203" s="2"/>
    </row>
    <row r="204" spans="1:16" hidden="1">
      <c r="A204" s="1"/>
      <c r="B204" s="1"/>
      <c r="C204" s="1"/>
      <c r="D204" s="44"/>
      <c r="E204" s="44"/>
      <c r="F204" s="1"/>
      <c r="G204" s="33" t="str" cm="1">
        <f t="array" ref="G204">INDEX(C$31:C$174,SMALL(IF(I$31:I$174=I204,ROW(I$31:I$174)-ROW(INDEX(I$31:I$174,1,1))+1),IF(I204=I203,2,1)))</f>
        <v>Tribal Energy Loan Guarantee Program</v>
      </c>
      <c r="H204" s="3" cm="1">
        <f t="array" ref="H204">INDEX(H$31:H$174,SMALL(IF(I$31:I$174=I204,ROW(I$31:I$174)-ROW(INDEX(I$31:I$174,1,1))+1),IF(I204=I203,2,1)))</f>
        <v>0</v>
      </c>
      <c r="I204" s="3">
        <f>LARGE(I$31:I$174,ROWS($197:204))</f>
        <v>950</v>
      </c>
      <c r="J204" s="20"/>
      <c r="K204" s="7"/>
      <c r="L204" s="2"/>
      <c r="M204" s="1"/>
      <c r="N204" s="1"/>
      <c r="O204" s="1"/>
      <c r="P204" s="2"/>
    </row>
    <row r="205" spans="1:16" hidden="1">
      <c r="A205" s="1"/>
      <c r="B205" s="1"/>
      <c r="C205" s="1"/>
      <c r="D205" s="44"/>
      <c r="E205" s="44"/>
      <c r="F205" s="1"/>
      <c r="G205" s="33" t="str" cm="1">
        <f t="array" ref="G205">INDEX(C$31:C$174,SMALL(IF(I$31:I$174=I205,ROW(I$31:I$174)-ROW(INDEX(I$31:I$174,1,1))+1),IF(I205=I204,2,1)))</f>
        <v>Residential Clean Energy Credit</v>
      </c>
      <c r="H205" s="3" cm="1">
        <f t="array" ref="H205">INDEX(H$31:H$174,SMALL(IF(I$31:I$174=I205,ROW(I$31:I$174)-ROW(INDEX(I$31:I$174,1,1))+1),IF(I205=I204,2,1)))</f>
        <v>440</v>
      </c>
      <c r="I205" s="3">
        <f>LARGE(I$31:I$174,ROWS($197:205))</f>
        <v>880</v>
      </c>
      <c r="J205" s="20"/>
      <c r="K205" s="7"/>
      <c r="L205" s="2"/>
      <c r="M205" s="1"/>
      <c r="N205" s="1"/>
      <c r="O205" s="1"/>
      <c r="P205" s="2"/>
    </row>
    <row r="206" spans="1:16" hidden="1">
      <c r="A206" s="1"/>
      <c r="B206" s="1"/>
      <c r="C206" s="1"/>
      <c r="D206" s="44"/>
      <c r="E206" s="44"/>
      <c r="F206" s="1"/>
      <c r="G206" s="33" t="str" cm="1">
        <f t="array" ref="G206">INDEX(C$31:C$174,SMALL(IF(I$31:I$174=I206,ROW(I$31:I$174)-ROW(INDEX(I$31:I$174,1,1))+1),IF(I206=I205,2,1)))</f>
        <v>Greenhouse Gas Reduction Fund</v>
      </c>
      <c r="H206" s="3" cm="1">
        <f t="array" ref="H206">INDEX(H$31:H$174,SMALL(IF(I$31:I$174=I206,ROW(I$31:I$174)-ROW(INDEX(I$31:I$174,1,1))+1),IF(I206=I205,2,1)))</f>
        <v>280</v>
      </c>
      <c r="I206" s="3">
        <f>LARGE(I$31:I$174,ROWS($197:206))</f>
        <v>800</v>
      </c>
      <c r="J206" s="20"/>
      <c r="K206" s="7"/>
      <c r="L206" s="2"/>
      <c r="M206" s="1"/>
      <c r="N206" s="1"/>
      <c r="O206" s="1"/>
      <c r="P206" s="2"/>
    </row>
    <row r="207" spans="1:16" hidden="1">
      <c r="A207" s="1"/>
      <c r="B207" s="1"/>
      <c r="C207" s="1"/>
      <c r="D207" s="44"/>
      <c r="E207" s="44"/>
      <c r="F207" s="1"/>
      <c r="G207" s="33" t="str" cm="1">
        <f t="array" ref="G207">INDEX(C$31:C$174,SMALL(IF(I$31:I$174=I207,ROW(I$31:I$174)-ROW(INDEX(I$31:I$174,1,1))+1),IF(I207=I206,2,1)))</f>
        <v>Extension and Modification of Energy Credit</v>
      </c>
      <c r="H207" s="3" cm="1">
        <f t="array" ref="H207">INDEX(H$31:H$174,SMALL(IF(I$31:I$174=I207,ROW(I$31:I$174)-ROW(INDEX(I$31:I$174,1,1))+1),IF(I207=I206,2,1)))</f>
        <v>150</v>
      </c>
      <c r="I207" s="3">
        <f>LARGE(I$31:I$174,ROWS($197:207))</f>
        <v>500</v>
      </c>
      <c r="J207" s="20"/>
      <c r="K207" s="7"/>
      <c r="L207" s="2"/>
      <c r="M207" s="1"/>
      <c r="N207" s="1"/>
      <c r="O207" s="1"/>
      <c r="P207" s="2"/>
    </row>
    <row r="208" spans="1:16" hidden="1">
      <c r="A208" s="1"/>
      <c r="B208" s="1"/>
      <c r="C208" s="1"/>
      <c r="D208" s="44"/>
      <c r="E208" s="44"/>
      <c r="F208" s="1"/>
      <c r="G208" s="33" t="str" cm="1">
        <f t="array" ref="G208">INDEX(C$31:C$174,SMALL(IF(I$31:I$174=I208,ROW(I$31:I$174)-ROW(INDEX(I$31:I$174,1,1))+1),IF(I208=I207,2,1)))</f>
        <v>Extension, Increase, and Modifications of Nonbusiness Energy Property Credit</v>
      </c>
      <c r="H208" s="3" cm="1">
        <f t="array" ref="H208">INDEX(H$31:H$174,SMALL(IF(I$31:I$174=I208,ROW(I$31:I$174)-ROW(INDEX(I$31:I$174,1,1))+1),IF(I208=I207,2,1)))</f>
        <v>250</v>
      </c>
      <c r="I208" s="3">
        <f>LARGE(I$31:I$174,ROWS($197:208))</f>
        <v>500</v>
      </c>
      <c r="J208" s="20"/>
      <c r="K208" s="7"/>
      <c r="L208" s="2"/>
      <c r="M208" s="1"/>
      <c r="N208" s="1"/>
      <c r="O208" s="1"/>
      <c r="P208" s="2"/>
    </row>
    <row r="209" spans="1:16" hidden="1">
      <c r="A209" s="1"/>
      <c r="B209" s="1"/>
      <c r="C209" s="1"/>
      <c r="D209" s="44"/>
      <c r="E209" s="44"/>
      <c r="F209" s="1"/>
      <c r="G209" s="33" t="str" cm="1">
        <f t="array" ref="G209">INDEX(C$31:C$174,SMALL(IF(I$31:I$174=I209,ROW(I$31:I$174)-ROW(INDEX(I$31:I$174,1,1))+1),IF(I209=I208,2,1)))</f>
        <v>Additional Agricultural Conservation Investments</v>
      </c>
      <c r="H209" s="3" cm="1">
        <f t="array" ref="H209">INDEX(H$31:H$174,SMALL(IF(I$31:I$174=I209,ROW(I$31:I$174)-ROW(INDEX(I$31:I$174,1,1))+1),IF(I209=I208,2,1)))</f>
        <v>150</v>
      </c>
      <c r="I209" s="3">
        <f>LARGE(I$31:I$174,ROWS($197:209))</f>
        <v>460</v>
      </c>
      <c r="J209" s="20"/>
      <c r="K209" s="7"/>
      <c r="L209" s="2"/>
      <c r="M209" s="1"/>
      <c r="N209" s="1"/>
      <c r="O209" s="1"/>
      <c r="P209" s="2"/>
    </row>
    <row r="210" spans="1:16" hidden="1">
      <c r="A210" s="1"/>
      <c r="B210" s="1"/>
      <c r="C210" s="1"/>
      <c r="D210" s="44"/>
      <c r="E210" s="44"/>
      <c r="F210" s="1"/>
      <c r="G210" s="33" t="str" cm="1">
        <f t="array" ref="G210">INDEX(C$31:C$174,SMALL(IF(I$31:I$174=I210,ROW(I$31:I$174)-ROW(INDEX(I$31:I$174,1,1))+1),IF(I210=I209,2,1)))</f>
        <v>Clean Electricity Production Credit</v>
      </c>
      <c r="H210" s="3" cm="1">
        <f t="array" ref="H210">INDEX(H$31:H$174,SMALL(IF(I$31:I$174=I210,ROW(I$31:I$174)-ROW(INDEX(I$31:I$174,1,1))+1),IF(I210=I209,2,1)))</f>
        <v>120</v>
      </c>
      <c r="I210" s="3">
        <f>LARGE(I$31:I$174,ROWS($197:210))</f>
        <v>400</v>
      </c>
      <c r="J210" s="20"/>
      <c r="K210" s="7"/>
      <c r="L210" s="2"/>
      <c r="M210" s="1"/>
      <c r="N210" s="1"/>
      <c r="O210" s="1"/>
      <c r="P210" s="2"/>
    </row>
    <row r="211" spans="1:16" hidden="1">
      <c r="A211" s="1"/>
      <c r="B211" s="1"/>
      <c r="C211" s="1"/>
      <c r="D211" s="44"/>
      <c r="E211" s="44"/>
      <c r="F211" s="1"/>
      <c r="G211" s="33" t="str" cm="1">
        <f t="array" ref="G211">INDEX(C$31:C$174,SMALL(IF(I$31:I$174=I211,ROW(I$31:I$174)-ROW(INDEX(I$31:I$174,1,1))+1),IF(I211=I210,2,1)))</f>
        <v>Clean Hydrogen</v>
      </c>
      <c r="H211" s="3" cm="1">
        <f t="array" ref="H211">INDEX(H$31:H$174,SMALL(IF(I$31:I$174=I211,ROW(I$31:I$174)-ROW(INDEX(I$31:I$174,1,1))+1),IF(I211=I210,2,1)))</f>
        <v>130</v>
      </c>
      <c r="I211" s="3">
        <f>LARGE(I$31:I$174,ROWS($197:211))</f>
        <v>390</v>
      </c>
      <c r="J211" s="20"/>
      <c r="K211" s="7"/>
      <c r="L211" s="2"/>
      <c r="M211" s="1"/>
      <c r="N211" s="1"/>
      <c r="O211" s="1"/>
      <c r="P211" s="2"/>
    </row>
    <row r="212" spans="1:16" hidden="1">
      <c r="A212" s="1"/>
      <c r="B212" s="1"/>
      <c r="C212" s="1"/>
      <c r="D212" s="44"/>
      <c r="E212" s="44"/>
      <c r="F212" s="1"/>
      <c r="G212" s="1"/>
      <c r="H212" s="1"/>
      <c r="I212" s="1"/>
      <c r="J212" s="20"/>
      <c r="K212" s="7"/>
      <c r="L212" s="2"/>
      <c r="M212" s="1"/>
      <c r="N212" s="1"/>
      <c r="O212" s="1"/>
      <c r="P212" s="2"/>
    </row>
    <row r="213" spans="1:16" hidden="1">
      <c r="A213" s="1"/>
      <c r="B213" s="1"/>
      <c r="C213" s="1"/>
      <c r="D213" s="44"/>
      <c r="E213" s="44"/>
      <c r="F213" s="1"/>
      <c r="G213" s="1"/>
      <c r="H213" s="1"/>
      <c r="I213" s="1"/>
      <c r="J213" s="20"/>
      <c r="K213" s="7"/>
      <c r="L213" s="2"/>
      <c r="M213" s="1"/>
      <c r="N213" s="1"/>
      <c r="O213" s="1"/>
      <c r="P213" s="2"/>
    </row>
    <row r="214" spans="1:16" ht="26.25" hidden="1">
      <c r="A214" s="1"/>
      <c r="B214" s="1"/>
      <c r="C214" s="1"/>
      <c r="D214" s="44"/>
      <c r="E214" s="44"/>
      <c r="F214" s="1"/>
      <c r="G214" s="16" t="s">
        <v>668</v>
      </c>
      <c r="H214" s="35">
        <f>ROUND(H197+H199,-2)</f>
        <v>4000</v>
      </c>
      <c r="I214" s="35">
        <f>ROUND(I197+I199,-3)</f>
        <v>11000</v>
      </c>
      <c r="J214" s="20" t="s">
        <v>669</v>
      </c>
      <c r="K214" s="7" t="s">
        <v>378</v>
      </c>
      <c r="L214" s="2"/>
      <c r="M214" s="1"/>
      <c r="N214" s="1"/>
      <c r="O214" s="1"/>
      <c r="P214" s="2"/>
    </row>
    <row r="215" spans="1:16" hidden="1">
      <c r="A215" s="1"/>
      <c r="B215" s="1"/>
      <c r="C215" s="1"/>
      <c r="D215" s="44"/>
      <c r="E215" s="44"/>
      <c r="F215" s="1"/>
      <c r="G215" s="16" t="s">
        <v>670</v>
      </c>
      <c r="H215" s="34">
        <f>H207+H201</f>
        <v>710</v>
      </c>
      <c r="I215" s="34">
        <f>ROUND(I207+I201,-2)</f>
        <v>2200</v>
      </c>
      <c r="J215" s="20" t="s">
        <v>671</v>
      </c>
      <c r="K215" s="7" t="s">
        <v>672</v>
      </c>
      <c r="L215" s="2"/>
      <c r="M215" s="1"/>
      <c r="N215" s="1"/>
      <c r="O215" s="1"/>
      <c r="P215" s="2"/>
    </row>
    <row r="216" spans="1:16" hidden="1">
      <c r="A216" s="1"/>
      <c r="B216" s="1"/>
      <c r="C216" s="1"/>
      <c r="D216" s="44"/>
      <c r="E216" s="44"/>
      <c r="F216" s="1"/>
      <c r="G216" s="16" t="s">
        <v>673</v>
      </c>
      <c r="H216" s="34">
        <f>H209+H200</f>
        <v>710</v>
      </c>
      <c r="I216" s="34">
        <f>I209+I200</f>
        <v>2160</v>
      </c>
      <c r="J216" s="20" t="s">
        <v>671</v>
      </c>
      <c r="K216" s="7" t="s">
        <v>672</v>
      </c>
      <c r="L216" s="2"/>
      <c r="M216" s="1"/>
      <c r="N216" s="1"/>
      <c r="O216" s="1"/>
      <c r="P216" s="2"/>
    </row>
    <row r="217" spans="1:16" hidden="1">
      <c r="A217" s="1"/>
      <c r="B217" s="1"/>
      <c r="C217" s="1"/>
      <c r="D217" s="44"/>
      <c r="E217" s="44"/>
      <c r="F217" s="1"/>
      <c r="G217" s="33" t="s">
        <v>148</v>
      </c>
      <c r="H217" s="3">
        <v>1230</v>
      </c>
      <c r="I217" s="3">
        <v>1900</v>
      </c>
      <c r="J217" s="20" t="s">
        <v>671</v>
      </c>
      <c r="K217" s="7" t="s">
        <v>672</v>
      </c>
      <c r="L217" s="2"/>
      <c r="M217" s="1"/>
      <c r="N217" s="1"/>
      <c r="O217" s="1"/>
      <c r="P217" s="2"/>
    </row>
    <row r="218" spans="1:16" hidden="1">
      <c r="A218" s="1"/>
      <c r="B218" s="1"/>
      <c r="C218" s="1"/>
      <c r="D218" s="44"/>
      <c r="E218" s="44"/>
      <c r="F218" s="1"/>
      <c r="G218" s="33" t="s">
        <v>269</v>
      </c>
      <c r="H218" s="3">
        <v>780</v>
      </c>
      <c r="I218" s="3">
        <v>1550</v>
      </c>
      <c r="J218" s="20" t="s">
        <v>671</v>
      </c>
      <c r="K218" s="7" t="s">
        <v>674</v>
      </c>
      <c r="L218" s="2"/>
      <c r="M218" s="1"/>
      <c r="N218" s="1"/>
      <c r="O218" s="1"/>
      <c r="P218" s="2"/>
    </row>
    <row r="219" spans="1:16" hidden="1">
      <c r="A219" s="1"/>
      <c r="B219" s="1"/>
      <c r="C219" s="1"/>
      <c r="D219" s="44"/>
      <c r="E219" s="44"/>
      <c r="F219" s="1"/>
      <c r="G219" s="33" t="s">
        <v>221</v>
      </c>
      <c r="H219" s="3">
        <v>610</v>
      </c>
      <c r="I219" s="3">
        <v>1220</v>
      </c>
      <c r="J219" s="20" t="s">
        <v>675</v>
      </c>
      <c r="K219" s="7" t="s">
        <v>672</v>
      </c>
      <c r="L219" s="2"/>
      <c r="M219" s="1"/>
      <c r="N219" s="1"/>
      <c r="O219" s="1"/>
      <c r="P219" s="2"/>
    </row>
    <row r="220" spans="1:16" hidden="1">
      <c r="A220" s="1"/>
      <c r="B220" s="1"/>
      <c r="C220" s="1"/>
      <c r="D220" s="44"/>
      <c r="E220" s="44"/>
      <c r="F220" s="1"/>
      <c r="G220" s="33" t="s">
        <v>399</v>
      </c>
      <c r="H220" s="3">
        <v>0</v>
      </c>
      <c r="I220" s="3">
        <v>950</v>
      </c>
      <c r="J220" s="20" t="s">
        <v>671</v>
      </c>
      <c r="K220" s="7" t="s">
        <v>378</v>
      </c>
      <c r="L220" s="2"/>
      <c r="M220" s="1"/>
      <c r="N220" s="1"/>
      <c r="O220" s="1"/>
      <c r="P220" s="2"/>
    </row>
    <row r="221" spans="1:16" hidden="1">
      <c r="A221" s="1"/>
      <c r="B221" s="1"/>
      <c r="C221" s="1"/>
      <c r="D221" s="44"/>
      <c r="E221" s="44"/>
      <c r="F221" s="1"/>
      <c r="G221" s="33" t="s">
        <v>188</v>
      </c>
      <c r="H221" s="3">
        <v>440</v>
      </c>
      <c r="I221" s="3">
        <v>880</v>
      </c>
      <c r="J221" s="20" t="s">
        <v>671</v>
      </c>
      <c r="K221" s="7" t="s">
        <v>672</v>
      </c>
      <c r="L221" s="2"/>
      <c r="M221" s="1"/>
      <c r="N221" s="1"/>
      <c r="O221" s="1"/>
      <c r="P221" s="2"/>
    </row>
    <row r="222" spans="1:16" hidden="1">
      <c r="A222" s="1"/>
      <c r="B222" s="1"/>
      <c r="C222" s="1"/>
      <c r="D222" s="44"/>
      <c r="E222" s="44"/>
      <c r="F222" s="1"/>
      <c r="G222" s="33" t="s">
        <v>676</v>
      </c>
      <c r="H222" s="3">
        <v>190</v>
      </c>
      <c r="I222" s="3">
        <v>560</v>
      </c>
      <c r="J222" s="20" t="s">
        <v>677</v>
      </c>
      <c r="K222" s="7" t="s">
        <v>678</v>
      </c>
      <c r="L222" s="2"/>
      <c r="M222" s="1"/>
      <c r="N222" s="1"/>
      <c r="O222" s="1"/>
      <c r="P222" s="2"/>
    </row>
    <row r="223" spans="1:16">
      <c r="A223" s="1"/>
      <c r="B223" s="1"/>
      <c r="C223" s="1"/>
      <c r="D223" s="44"/>
      <c r="E223" s="44"/>
      <c r="F223" s="1"/>
      <c r="G223" s="33"/>
      <c r="H223" s="3"/>
      <c r="I223" s="3"/>
      <c r="J223" s="20"/>
      <c r="K223" s="7"/>
      <c r="L223" s="2"/>
      <c r="M223" s="1"/>
      <c r="N223" s="1"/>
      <c r="O223" s="1"/>
      <c r="P223" s="2"/>
    </row>
    <row r="224" spans="1:16">
      <c r="A224" s="1"/>
      <c r="B224" s="1"/>
      <c r="C224" s="1"/>
      <c r="D224" s="44"/>
      <c r="E224" s="44"/>
      <c r="F224" s="1"/>
      <c r="G224" s="1"/>
      <c r="H224" s="1"/>
      <c r="I224" s="1"/>
      <c r="J224" s="20"/>
      <c r="K224" s="7"/>
      <c r="L224" s="2"/>
      <c r="M224" s="1"/>
      <c r="N224" s="1"/>
      <c r="O224" s="1"/>
      <c r="P224" s="2"/>
    </row>
    <row r="225" spans="1:16">
      <c r="A225" s="1"/>
      <c r="B225" s="1"/>
      <c r="C225" s="1"/>
      <c r="D225" s="44"/>
      <c r="E225" s="44"/>
      <c r="F225" s="1"/>
      <c r="G225" s="1"/>
      <c r="H225" s="1"/>
      <c r="I225" s="1"/>
      <c r="J225" s="20"/>
      <c r="K225" s="7"/>
      <c r="L225" s="2"/>
      <c r="M225" s="1"/>
      <c r="N225" s="1"/>
      <c r="O225" s="1"/>
      <c r="P225" s="2"/>
    </row>
    <row r="226" spans="1:16">
      <c r="A226" s="1"/>
      <c r="B226" s="1"/>
      <c r="C226" s="1"/>
      <c r="D226" s="44"/>
      <c r="E226" s="44"/>
      <c r="F226" s="1"/>
      <c r="G226" s="1"/>
      <c r="H226" s="1"/>
      <c r="I226" s="1"/>
      <c r="J226" s="20"/>
      <c r="K226" s="7"/>
      <c r="L226" s="2"/>
      <c r="M226" s="1"/>
      <c r="N226" s="1"/>
      <c r="O226" s="1"/>
      <c r="P226" s="2"/>
    </row>
    <row r="227" spans="1:16">
      <c r="A227" s="1"/>
      <c r="B227" s="1"/>
      <c r="C227" s="1"/>
      <c r="D227" s="44"/>
      <c r="E227" s="44"/>
      <c r="F227" s="1"/>
      <c r="G227" s="1"/>
      <c r="H227" s="1"/>
      <c r="I227" s="1"/>
      <c r="J227" s="20"/>
      <c r="K227" s="7"/>
      <c r="L227" s="2"/>
      <c r="M227" s="1"/>
      <c r="N227" s="1"/>
      <c r="O227" s="1"/>
      <c r="P227" s="2"/>
    </row>
    <row r="228" spans="1:16">
      <c r="A228" s="1"/>
      <c r="B228" s="1"/>
      <c r="C228" s="1"/>
      <c r="D228" s="44"/>
      <c r="E228" s="44"/>
      <c r="F228" s="1"/>
      <c r="G228" s="1"/>
      <c r="H228" s="1"/>
      <c r="I228" s="1"/>
      <c r="J228" s="20"/>
      <c r="K228" s="7"/>
      <c r="L228" s="2"/>
      <c r="M228" s="1"/>
      <c r="N228" s="1"/>
      <c r="O228" s="1"/>
      <c r="P228" s="2"/>
    </row>
    <row r="229" spans="1:16">
      <c r="A229" s="1"/>
      <c r="B229" s="1"/>
      <c r="C229" s="1"/>
      <c r="D229" s="44"/>
      <c r="E229" s="44"/>
      <c r="F229" s="1"/>
      <c r="G229" s="1"/>
      <c r="H229" s="1"/>
      <c r="I229" s="1"/>
      <c r="J229" s="20"/>
      <c r="K229" s="7"/>
      <c r="L229" s="2"/>
      <c r="M229" s="1"/>
      <c r="N229" s="1"/>
      <c r="O229" s="1"/>
      <c r="P229" s="2"/>
    </row>
    <row r="230" spans="1:16">
      <c r="A230" s="1"/>
      <c r="B230" s="1"/>
      <c r="C230" s="1"/>
      <c r="D230" s="44"/>
      <c r="E230" s="44"/>
      <c r="F230" s="1"/>
      <c r="G230" s="1"/>
      <c r="H230" s="1"/>
      <c r="I230" s="1"/>
      <c r="J230" s="20"/>
      <c r="K230" s="7"/>
      <c r="L230" s="2"/>
      <c r="M230" s="1"/>
      <c r="N230" s="1"/>
      <c r="O230" s="1"/>
      <c r="P230" s="2"/>
    </row>
    <row r="231" spans="1:16">
      <c r="A231" s="1"/>
      <c r="B231" s="1"/>
      <c r="C231" s="1"/>
      <c r="D231" s="44"/>
      <c r="E231" s="44"/>
      <c r="F231" s="1"/>
      <c r="G231" s="1"/>
      <c r="H231" s="1"/>
      <c r="I231" s="1"/>
      <c r="J231" s="20"/>
      <c r="K231" s="7"/>
      <c r="L231" s="2"/>
      <c r="M231" s="1"/>
      <c r="N231" s="1"/>
      <c r="O231" s="1"/>
      <c r="P231" s="2"/>
    </row>
    <row r="232" spans="1:16">
      <c r="A232" s="1"/>
      <c r="B232" s="1"/>
      <c r="C232" s="1"/>
      <c r="D232" s="44"/>
      <c r="E232" s="44"/>
      <c r="F232" s="1"/>
      <c r="G232" s="1"/>
      <c r="H232" s="1"/>
      <c r="I232" s="1"/>
      <c r="J232" s="20"/>
      <c r="K232" s="7"/>
      <c r="L232" s="2"/>
      <c r="M232" s="1"/>
      <c r="N232" s="1"/>
      <c r="O232" s="1"/>
      <c r="P232" s="2"/>
    </row>
    <row r="233" spans="1:16">
      <c r="A233" s="1"/>
      <c r="B233" s="1"/>
      <c r="C233" s="1"/>
      <c r="D233" s="44"/>
      <c r="E233" s="44"/>
      <c r="F233" s="1"/>
      <c r="G233" s="1"/>
      <c r="H233" s="1"/>
      <c r="I233" s="1"/>
      <c r="J233" s="20"/>
      <c r="K233" s="7"/>
      <c r="L233" s="2"/>
      <c r="M233" s="1"/>
      <c r="N233" s="1"/>
      <c r="O233" s="1"/>
      <c r="P233" s="2"/>
    </row>
    <row r="234" spans="1:16">
      <c r="A234" s="1"/>
      <c r="B234" s="1"/>
      <c r="C234" s="1"/>
      <c r="D234" s="44"/>
      <c r="E234" s="44"/>
      <c r="F234" s="1"/>
      <c r="G234" s="1"/>
      <c r="H234" s="1"/>
      <c r="I234" s="1"/>
      <c r="J234" s="20"/>
      <c r="K234" s="7"/>
      <c r="L234" s="2"/>
      <c r="M234" s="1"/>
      <c r="N234" s="1"/>
      <c r="O234" s="1"/>
      <c r="P234" s="2"/>
    </row>
    <row r="235" spans="1:16">
      <c r="A235" s="1"/>
      <c r="B235" s="1"/>
      <c r="C235" s="1"/>
      <c r="D235" s="44"/>
      <c r="E235" s="44"/>
      <c r="F235" s="1"/>
      <c r="G235" s="1"/>
      <c r="H235" s="1"/>
      <c r="I235" s="1"/>
      <c r="J235" s="20"/>
      <c r="K235" s="7"/>
      <c r="L235" s="2"/>
      <c r="M235" s="1"/>
      <c r="N235" s="1"/>
      <c r="O235" s="1"/>
      <c r="P235" s="2"/>
    </row>
    <row r="236" spans="1:16">
      <c r="A236" s="1"/>
      <c r="B236" s="1"/>
      <c r="C236" s="1"/>
      <c r="D236" s="44"/>
      <c r="E236" s="44"/>
      <c r="F236" s="1"/>
      <c r="G236" s="1"/>
      <c r="H236" s="1"/>
      <c r="I236" s="1"/>
      <c r="J236" s="20"/>
      <c r="K236" s="7"/>
      <c r="L236" s="2"/>
      <c r="M236" s="1"/>
      <c r="N236" s="1"/>
      <c r="O236" s="1"/>
      <c r="P236" s="2"/>
    </row>
    <row r="237" spans="1:16">
      <c r="A237" s="1"/>
      <c r="B237" s="1"/>
      <c r="C237" s="1"/>
      <c r="D237" s="44"/>
      <c r="E237" s="44"/>
      <c r="F237" s="1"/>
      <c r="G237" s="1"/>
      <c r="H237" s="1"/>
      <c r="I237" s="1"/>
      <c r="J237" s="20"/>
      <c r="K237" s="7"/>
      <c r="L237" s="1"/>
      <c r="M237" s="1"/>
      <c r="N237" s="1"/>
      <c r="O237" s="1"/>
      <c r="P237" s="2"/>
    </row>
    <row r="238" spans="1:16">
      <c r="A238" s="1"/>
      <c r="B238" s="1"/>
      <c r="C238" s="1"/>
      <c r="D238" s="44"/>
      <c r="E238" s="44"/>
      <c r="F238" s="1"/>
      <c r="G238" s="1"/>
      <c r="H238" s="1"/>
      <c r="I238" s="1"/>
      <c r="J238" s="20"/>
      <c r="K238" s="7"/>
      <c r="L238" s="1"/>
      <c r="M238" s="1"/>
      <c r="N238" s="1"/>
      <c r="O238" s="1"/>
      <c r="P238" s="2"/>
    </row>
    <row r="239" spans="1:16">
      <c r="A239" s="1"/>
      <c r="B239" s="1"/>
      <c r="C239" s="1"/>
      <c r="D239" s="44"/>
      <c r="E239" s="44"/>
      <c r="F239" s="1"/>
      <c r="G239" s="1"/>
      <c r="H239" s="1"/>
      <c r="I239" s="1"/>
      <c r="J239" s="20"/>
      <c r="K239" s="7"/>
      <c r="L239" s="1"/>
      <c r="M239" s="1"/>
      <c r="N239" s="1"/>
      <c r="O239" s="1"/>
      <c r="P239" s="2"/>
    </row>
    <row r="240" spans="1:16">
      <c r="A240" s="1"/>
      <c r="B240" s="1"/>
      <c r="C240" s="1"/>
      <c r="D240" s="44"/>
      <c r="E240" s="44"/>
      <c r="F240" s="1"/>
      <c r="G240" s="1"/>
      <c r="H240" s="1"/>
      <c r="I240" s="1"/>
      <c r="J240" s="20"/>
      <c r="K240" s="7"/>
      <c r="L240" s="1"/>
      <c r="M240" s="1"/>
      <c r="N240" s="1"/>
      <c r="O240" s="1"/>
      <c r="P240" s="2"/>
    </row>
    <row r="241" spans="1:16">
      <c r="A241" s="1"/>
      <c r="B241" s="1"/>
      <c r="C241" s="1"/>
      <c r="D241" s="44"/>
      <c r="E241" s="44"/>
      <c r="F241" s="1"/>
      <c r="G241" s="1"/>
      <c r="H241" s="1"/>
      <c r="I241" s="1"/>
      <c r="J241" s="20"/>
      <c r="K241" s="7"/>
      <c r="L241" s="1"/>
      <c r="M241" s="1"/>
      <c r="N241" s="1"/>
      <c r="O241" s="1"/>
      <c r="P241" s="2"/>
    </row>
    <row r="242" spans="1:16">
      <c r="A242" s="1"/>
      <c r="B242" s="1"/>
      <c r="C242" s="1"/>
      <c r="D242" s="44"/>
      <c r="E242" s="44"/>
      <c r="F242" s="1"/>
      <c r="G242" s="1"/>
      <c r="H242" s="1"/>
      <c r="I242" s="1"/>
      <c r="J242" s="20"/>
      <c r="K242" s="7"/>
      <c r="L242" s="1"/>
      <c r="M242" s="1"/>
      <c r="N242" s="1"/>
      <c r="O242" s="1"/>
      <c r="P242" s="2"/>
    </row>
    <row r="243" spans="1:16">
      <c r="A243" s="1"/>
      <c r="B243" s="1"/>
      <c r="C243" s="1"/>
      <c r="D243" s="44"/>
      <c r="E243" s="44"/>
      <c r="F243" s="1"/>
      <c r="G243" s="1"/>
      <c r="H243" s="1"/>
      <c r="I243" s="1"/>
      <c r="J243" s="20"/>
      <c r="K243" s="7"/>
      <c r="L243" s="1"/>
      <c r="M243" s="1"/>
      <c r="N243" s="1"/>
      <c r="O243" s="1"/>
      <c r="P243" s="2"/>
    </row>
    <row r="244" spans="1:16">
      <c r="A244" s="1"/>
      <c r="B244" s="1"/>
      <c r="C244" s="1"/>
      <c r="D244" s="44"/>
      <c r="E244" s="44"/>
      <c r="F244" s="1"/>
      <c r="G244" s="1"/>
      <c r="H244" s="1"/>
      <c r="I244" s="1"/>
      <c r="J244" s="20"/>
      <c r="K244" s="7"/>
      <c r="L244" s="1"/>
      <c r="M244" s="1"/>
      <c r="N244" s="1"/>
      <c r="O244" s="1"/>
      <c r="P244" s="2"/>
    </row>
    <row r="245" spans="1:16">
      <c r="A245" s="1"/>
      <c r="B245" s="1"/>
      <c r="C245" s="1"/>
      <c r="D245" s="44"/>
      <c r="E245" s="44"/>
      <c r="F245" s="1"/>
      <c r="G245" s="1"/>
      <c r="H245" s="1"/>
      <c r="I245" s="1"/>
      <c r="J245" s="20"/>
      <c r="K245" s="7"/>
      <c r="L245" s="1"/>
      <c r="M245" s="1"/>
      <c r="N245" s="1"/>
      <c r="O245" s="1"/>
      <c r="P245" s="2"/>
    </row>
    <row r="246" spans="1:16">
      <c r="A246" s="1"/>
      <c r="B246" s="1"/>
      <c r="C246" s="1"/>
      <c r="D246" s="44"/>
      <c r="E246" s="44"/>
      <c r="F246" s="1"/>
      <c r="G246" s="1"/>
      <c r="H246" s="1"/>
      <c r="I246" s="1"/>
      <c r="J246" s="20"/>
      <c r="K246" s="7"/>
      <c r="L246" s="1"/>
      <c r="M246" s="1"/>
      <c r="N246" s="1"/>
      <c r="O246" s="1"/>
      <c r="P246" s="2"/>
    </row>
  </sheetData>
  <mergeCells count="89">
    <mergeCell ref="F147:G147"/>
    <mergeCell ref="H147:I147"/>
    <mergeCell ref="H148:I148"/>
    <mergeCell ref="H88:I88"/>
    <mergeCell ref="A131:R131"/>
    <mergeCell ref="A132:R132"/>
    <mergeCell ref="A109:R109"/>
    <mergeCell ref="A92:R92"/>
    <mergeCell ref="A91:R91"/>
    <mergeCell ref="A119:R119"/>
    <mergeCell ref="A125:R125"/>
    <mergeCell ref="H120:I120"/>
    <mergeCell ref="H117:I117"/>
    <mergeCell ref="H116:I116"/>
    <mergeCell ref="H115:I115"/>
    <mergeCell ref="H130:I130"/>
    <mergeCell ref="H89:I89"/>
    <mergeCell ref="H106:I106"/>
    <mergeCell ref="H79:I79"/>
    <mergeCell ref="H85:I85"/>
    <mergeCell ref="H86:I86"/>
    <mergeCell ref="A83:R83"/>
    <mergeCell ref="A80:R80"/>
    <mergeCell ref="A1:R1"/>
    <mergeCell ref="A11:R11"/>
    <mergeCell ref="H2:I2"/>
    <mergeCell ref="H5:I5"/>
    <mergeCell ref="H6:I6"/>
    <mergeCell ref="H9:I9"/>
    <mergeCell ref="K2:K3"/>
    <mergeCell ref="R2:R3"/>
    <mergeCell ref="Q2:Q3"/>
    <mergeCell ref="P2:P3"/>
    <mergeCell ref="O2:O3"/>
    <mergeCell ref="N2:N3"/>
    <mergeCell ref="M2:M3"/>
    <mergeCell ref="L2:L3"/>
    <mergeCell ref="F2:G2"/>
    <mergeCell ref="H126:I126"/>
    <mergeCell ref="A12:R12"/>
    <mergeCell ref="A4:R4"/>
    <mergeCell ref="H21:I21"/>
    <mergeCell ref="H23:I23"/>
    <mergeCell ref="H76:I76"/>
    <mergeCell ref="H14:I14"/>
    <mergeCell ref="A62:R62"/>
    <mergeCell ref="A60:R60"/>
    <mergeCell ref="A75:R75"/>
    <mergeCell ref="A66:R66"/>
    <mergeCell ref="A63:R63"/>
    <mergeCell ref="H71:I71"/>
    <mergeCell ref="H13:I13"/>
    <mergeCell ref="H15:I15"/>
    <mergeCell ref="H16:I16"/>
    <mergeCell ref="H166:I166"/>
    <mergeCell ref="H167:I167"/>
    <mergeCell ref="H165:I165"/>
    <mergeCell ref="H163:I163"/>
    <mergeCell ref="H161:I161"/>
    <mergeCell ref="A55:R55"/>
    <mergeCell ref="A50:R50"/>
    <mergeCell ref="A45:R45"/>
    <mergeCell ref="E2:E3"/>
    <mergeCell ref="D2:D3"/>
    <mergeCell ref="C2:C3"/>
    <mergeCell ref="B2:B3"/>
    <mergeCell ref="A27:R27"/>
    <mergeCell ref="A17:R17"/>
    <mergeCell ref="H24:I24"/>
    <mergeCell ref="H18:I18"/>
    <mergeCell ref="A39:R39"/>
    <mergeCell ref="A30:R30"/>
    <mergeCell ref="A29:R29"/>
    <mergeCell ref="H61:I61"/>
    <mergeCell ref="A58:R58"/>
    <mergeCell ref="H174:I174"/>
    <mergeCell ref="H172:I172"/>
    <mergeCell ref="H169:I169"/>
    <mergeCell ref="H90:I90"/>
    <mergeCell ref="H143:I143"/>
    <mergeCell ref="H114:I114"/>
    <mergeCell ref="H127:I127"/>
    <mergeCell ref="H128:I128"/>
    <mergeCell ref="H129:I129"/>
    <mergeCell ref="H160:I160"/>
    <mergeCell ref="A170:R170"/>
    <mergeCell ref="A162:R162"/>
    <mergeCell ref="A156:R156"/>
    <mergeCell ref="A149:R149"/>
  </mergeCells>
  <phoneticPr fontId="4" type="noConversion"/>
  <hyperlinks>
    <hyperlink ref="P5" r:id="rId1" xr:uid="{EDCBBD3E-5DBE-4CA5-ACFA-414C82007573}"/>
    <hyperlink ref="P6" r:id="rId2" xr:uid="{57DBEDBA-DB0B-49C8-B561-CA894F66A9A2}"/>
    <hyperlink ref="P7" r:id="rId3" xr:uid="{E522861F-11DA-4883-BD4E-1399C2B47F87}"/>
    <hyperlink ref="Q5" r:id="rId4" xr:uid="{36B86A1C-184D-4FC7-A573-1734B9437982}"/>
    <hyperlink ref="Q6" r:id="rId5" xr:uid="{3339D8AA-DB79-4C74-9728-D7D5F83DD832}"/>
    <hyperlink ref="P8" r:id="rId6" xr:uid="{81491960-5FFB-4526-BD1F-88E39FD49A14}"/>
    <hyperlink ref="Q8" r:id="rId7" xr:uid="{78E1059E-8C97-451C-A35F-48DCD3F71114}"/>
    <hyperlink ref="P9" r:id="rId8" xr:uid="{FDEB5834-28CD-4AF8-8C06-C261FB6BDD54}"/>
    <hyperlink ref="Q9" r:id="rId9" xr:uid="{68DA0A71-F11C-451F-A66F-79F38282E672}"/>
    <hyperlink ref="P61" r:id="rId10" xr:uid="{37E9DAEA-0C4F-42FC-9743-5095002E40F6}"/>
    <hyperlink ref="Q61" r:id="rId11" xr:uid="{A2D6A2E6-E770-4CB6-9EF5-2167B5EA6A6C}"/>
    <hyperlink ref="Q7" r:id="rId12" xr:uid="{3B442301-004D-46ED-A9EB-81CE9111D24F}"/>
    <hyperlink ref="Q81" r:id="rId13" location=":~:text=more%20than%2080%20percent%20of%20the%20known%20lithium%20ore%20reserves%20in%20the%20U.S" xr:uid="{4891CA74-1E3E-4822-B2E3-2752BA4B3F06}"/>
    <hyperlink ref="P82" r:id="rId14" xr:uid="{5BCBCE0C-BFCD-4864-97BC-EC390837BE0C}"/>
    <hyperlink ref="R9" r:id="rId15" xr:uid="{BA9876A9-9D88-451B-A2AB-5BE30C80792A}"/>
    <hyperlink ref="P171" r:id="rId16" xr:uid="{700E7D5B-BA17-4DC6-AD87-2927F3D90183}"/>
    <hyperlink ref="P172" r:id="rId17" xr:uid="{479055CA-04CC-460A-B140-89E4CC8399FB}"/>
    <hyperlink ref="P173" r:id="rId18" xr:uid="{57685D7C-1648-4467-A6C6-00268D2D8230}"/>
    <hyperlink ref="P174" r:id="rId19" xr:uid="{3F695CD2-2478-4D28-BF2B-791CC4B7D111}"/>
    <hyperlink ref="P13" r:id="rId20" xr:uid="{C235808A-D432-4346-8102-088A3172DABA}"/>
    <hyperlink ref="P31" r:id="rId21" xr:uid="{873CFA2D-315B-465E-B2C3-8511FD4CBB61}"/>
    <hyperlink ref="R59" r:id="rId22" display="CRS" xr:uid="{914818B5-5D99-4BE2-A9E4-AAD2A6BF4957}"/>
    <hyperlink ref="P59" r:id="rId23" xr:uid="{422EA18E-0A9E-413F-8795-FCC1FA2BFF0B}"/>
    <hyperlink ref="P64" r:id="rId24" display="https://www.cbo.gov/system/files/2022-08/hr5376_IR_Act_8-3-22.pdf" xr:uid="{4AF6D6C7-F389-403B-8E97-65833B832157}"/>
    <hyperlink ref="P65" r:id="rId25" display="https://www.cbo.gov/system/files/2022-08/hr5376_IR_Act_8-3-22.pdf" xr:uid="{AFA107B0-3D80-40B8-8746-D19EECCB2440}"/>
    <hyperlink ref="P67" r:id="rId26" display="https://www.cbo.gov/system/files/2022-08/hr5376_IR_Act_8-3-22.pdf" xr:uid="{996C8B62-3C8D-4B8C-8353-D260E9899E8D}"/>
    <hyperlink ref="P68" r:id="rId27" display="https://www.cbo.gov/system/files/2022-08/hr5376_IR_Act_8-3-22.pdf" xr:uid="{C1C37630-A179-41CD-BCC4-C0410FB343DF}"/>
    <hyperlink ref="P69" r:id="rId28" display="https://www.cbo.gov/system/files/2022-08/hr5376_IR_Act_8-3-22.pdf" xr:uid="{76B9BB0E-2C34-46BF-A5E2-89FF004C2CE0}"/>
    <hyperlink ref="P70" r:id="rId29" xr:uid="{A638C8FF-6AAE-4D96-83DA-EE93EC20A6FC}"/>
    <hyperlink ref="P32" r:id="rId30" xr:uid="{0470FFD2-9345-439F-B702-D26B6F92648C}"/>
    <hyperlink ref="P40" r:id="rId31" xr:uid="{E00CB971-9B48-4101-9F12-BCEDE51450B6}"/>
    <hyperlink ref="P41" r:id="rId32" xr:uid="{AFBB400A-784F-44C1-AC86-9AFC15882851}"/>
    <hyperlink ref="P42" r:id="rId33" xr:uid="{40D5E392-BD04-4150-BFC3-B6D2815E7F37}"/>
    <hyperlink ref="P43" r:id="rId34" xr:uid="{C4832D19-40F3-4067-99E1-11F6F358737B}"/>
    <hyperlink ref="Q31" r:id="rId35" xr:uid="{F299BF0E-FC87-427C-9C73-096A886D06D3}"/>
    <hyperlink ref="Q32" r:id="rId36" xr:uid="{98D36FF6-E0E5-4C28-A872-C7F6ACBAFF6F}"/>
    <hyperlink ref="Q40" r:id="rId37" xr:uid="{34C1DFA4-FD86-4BFC-B26E-F3C9107A02C2}"/>
    <hyperlink ref="Q41" r:id="rId38" xr:uid="{2511FBCE-5282-4705-9D0A-2E1D5FE6B716}"/>
    <hyperlink ref="Q42" r:id="rId39" xr:uid="{E7EBC987-F742-4949-9B81-6921BA20BA3C}"/>
    <hyperlink ref="Q43" r:id="rId40" xr:uid="{FCBF87DA-B88C-41C4-9139-324A9AD58172}"/>
    <hyperlink ref="Q51" r:id="rId41" xr:uid="{90418853-CF2F-4E60-B710-3B621B488019}"/>
    <hyperlink ref="Q52:Q54" r:id="rId42" display="JCT" xr:uid="{26B2E5D9-995B-4264-8969-0E84DA80390C}"/>
    <hyperlink ref="P51" r:id="rId43" xr:uid="{DC499575-5706-44C3-9747-A67325CC4AB4}"/>
    <hyperlink ref="P52" r:id="rId44" xr:uid="{FA787298-6509-4741-B485-5B52D167BD10}"/>
    <hyperlink ref="P53" r:id="rId45" xr:uid="{0809FFB9-8F5C-4CE0-ADDC-5538DCC36BAA}"/>
    <hyperlink ref="P54" r:id="rId46" xr:uid="{150235E7-6F07-4034-AB2F-2DAB6E4BF6EB}"/>
    <hyperlink ref="P46" r:id="rId47"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1D1FBBE9-822A-441D-96F1-9EA2315E5C17}"/>
    <hyperlink ref="P47" r:id="rId48"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1C70219F-32DC-4827-B9F4-6E554F4DAD83}"/>
    <hyperlink ref="P48" r:id="rId49"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B0590406-CA7F-4498-856F-42F6BFEDCD6B}"/>
    <hyperlink ref="P49" r:id="rId50"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1E455C6E-8F46-4DBE-B0BF-7326242F44FC}"/>
    <hyperlink ref="Q67" r:id="rId51" xr:uid="{9AA97526-7690-4F4A-B348-CA2B37CEB0A6}"/>
    <hyperlink ref="Q68:Q70" r:id="rId52" display="CRS" xr:uid="{12AE1049-7850-4640-9920-10B7AA835F13}"/>
    <hyperlink ref="P57" r:id="rId53"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E171A3FE-C1C3-4CAE-8FB9-B49970B63079}"/>
    <hyperlink ref="P163:P169" r:id="rId54" display="CBO" xr:uid="{7D7BFD99-17E6-4D1D-859A-9940E140260F}"/>
    <hyperlink ref="Q64" r:id="rId55" xr:uid="{4EC776F8-54B1-4046-8E07-49C740D2D583}"/>
    <hyperlink ref="Q65" r:id="rId56" xr:uid="{8D62722F-73B5-4516-8FF2-2F8D63A5E23A}"/>
    <hyperlink ref="Q59" r:id="rId57" xr:uid="{C6F161E0-0B9B-412D-8C16-4F2C1A3F8162}"/>
    <hyperlink ref="P78" r:id="rId58" xr:uid="{E3F4CBFD-3957-4BB9-99AB-15E36282EF23}"/>
    <hyperlink ref="P77" r:id="rId59" xr:uid="{D71D7140-C805-49D0-B3B1-A7F49B7CEEEF}"/>
    <hyperlink ref="P76" r:id="rId60" xr:uid="{C6BD1731-E1DE-47CB-81C4-6EA06685EF25}"/>
    <hyperlink ref="Q84" r:id="rId61" xr:uid="{AD8DF907-28C9-4C52-BDEB-2996F4FA9680}"/>
    <hyperlink ref="P84" r:id="rId62" xr:uid="{669E8032-3962-4B4A-8AD3-CAAC739830A8}"/>
    <hyperlink ref="P85" r:id="rId63" xr:uid="{EE94CB16-45BB-4441-8DF6-F160245A92A7}"/>
    <hyperlink ref="P86" r:id="rId64" xr:uid="{DF0F7592-EC66-4C7F-A801-C92549127846}"/>
    <hyperlink ref="P87" r:id="rId65" xr:uid="{F39B6EBB-3829-4FEA-9BF8-4AD0C440BB13}"/>
    <hyperlink ref="P88" r:id="rId66" xr:uid="{CD03C5C1-EAA4-4FB7-9BC4-83AE0AF9682D}"/>
    <hyperlink ref="P89" r:id="rId67" xr:uid="{FB8969EC-BCAB-471D-940F-0B859A1EF9E3}"/>
    <hyperlink ref="P90" r:id="rId68" xr:uid="{BBF8C657-7D42-4228-8157-09ECDECAA04D}"/>
    <hyperlink ref="Q85" r:id="rId69" xr:uid="{348A1BF0-B840-4681-8F14-0FB45384BE9B}"/>
    <hyperlink ref="Q90" r:id="rId70" xr:uid="{1FF35F4F-D88B-4340-A4F4-503AE024497C}"/>
    <hyperlink ref="P36" r:id="rId71" xr:uid="{C0B9D079-4A30-4F76-93CF-193EC48AA5B5}"/>
    <hyperlink ref="P37" r:id="rId72" xr:uid="{6EED108E-ACD7-4DC2-AA1A-5F09F94DC051}"/>
    <hyperlink ref="P38" r:id="rId73" xr:uid="{E43FE479-4E15-46BF-A4D5-F3796143D37E}"/>
    <hyperlink ref="Q36" r:id="rId74" xr:uid="{F19CF330-AA8E-4E70-9221-2482F0142C26}"/>
    <hyperlink ref="Q37" r:id="rId75" xr:uid="{2EBC63C2-1C2B-4F5B-BCB0-484CAD898CAC}"/>
    <hyperlink ref="Q38" r:id="rId76" xr:uid="{A0A95906-9EC9-47D1-84BF-A0B666C52632}"/>
    <hyperlink ref="P71" r:id="rId77" xr:uid="{4E57DF30-6752-48DF-8682-D86BB7EE66BD}"/>
    <hyperlink ref="Q168" r:id="rId78" xr:uid="{91313657-7E74-4918-89B3-9CE3431F9A26}"/>
    <hyperlink ref="Q169" r:id="rId79" xr:uid="{E0C20A7F-B62B-4EE6-95ED-399CBF92E827}"/>
    <hyperlink ref="P44" r:id="rId80" xr:uid="{F5098396-F71E-4962-AA0E-347FE886FB9B}"/>
    <hyperlink ref="Q44" r:id="rId81" xr:uid="{8DFC0B11-9452-4B44-AB85-21334AC0FF4C}"/>
    <hyperlink ref="Q18" r:id="rId82" display="https://www.kff.org/medicare/issue-brief/how-will-the-prescription-drug-provisions-in-the-inflation-reduction-act-affect-medicare-beneficiaries/" xr:uid="{0396A17D-58E8-49E0-8EA5-3937FFDF557C}"/>
    <hyperlink ref="Q19" r:id="rId83" xr:uid="{55845B6A-54D3-49B8-84C8-1688996C4834}"/>
    <hyperlink ref="Q26" r:id="rId84" xr:uid="{E12E33FF-3BB0-403F-96D0-DA5F3F255DBF}"/>
    <hyperlink ref="Q22" r:id="rId85" xr:uid="{709B2FE3-39B5-4E4D-971B-06AC87A4E88A}"/>
    <hyperlink ref="J28" r:id="rId86" xr:uid="{93ED68D9-3744-451E-B842-ECB6D61DC598}"/>
    <hyperlink ref="J64" r:id="rId87" display="1.5% based on number of farm and size of NC farms as share of national total" xr:uid="{409C0403-3D90-46CC-B7A3-892C8D67B4BA}"/>
    <hyperlink ref="P56" r:id="rId88" display="https://www.bing.com/ck/a?!&amp;&amp;p=088825faecd550b2JmltdHM9MTY2MTgwMzc2NSZpZ3VpZD01YmU2ZTJiMi1jZjE4LTQwYTUtYmRmZC00MThhMjY0MzBmOGYmaW5zaWQ9NTE3Ng&amp;ptn=3&amp;hsh=3&amp;fclid=7a3c48ce-27d6-11ed-a75b-52394c64f0cc&amp;u=a1aHR0cHM6Ly9jcnNyZXBvcnRzLmNvbmdyZXNzLmdvdi9wcm9kdWN0L3BkZi9SL1I0NzIwMg&amp;ntb=1" xr:uid="{B349ABD3-3C5E-43AF-812A-7A1D4937F978}"/>
    <hyperlink ref="Q57" r:id="rId89" display="https://www.cbo.gov/system/files/2022-08/hr5376_IR_Act_8-3-22.pdf" xr:uid="{B698DF66-A750-460E-837E-26D55DEBBD74}"/>
    <hyperlink ref="Q56" r:id="rId90" display="https://www.cbo.gov/system/files/2022-08/hr5376_IR_Act_8-3-22.pdf" xr:uid="{3A8163AE-BCA7-4B57-83A6-C61A59E4F431}"/>
    <hyperlink ref="P93" r:id="rId91" display="https://www.cbo.gov/system/files/2022-08/hr5376_IR_Act_8-3-22.pdf" xr:uid="{E20D8EDC-8E64-43F1-874C-F7D5B30B096E}"/>
    <hyperlink ref="P94:P108" r:id="rId92" display="https://www.cbo.gov/system/files/2022-08/hr5376_IR_Act_8-3-22.pdf" xr:uid="{4231B451-9F2B-4039-9A61-5799B1CA249E}"/>
    <hyperlink ref="P110" r:id="rId93" display="https://www.cbo.gov/system/files/2022-08/hr5376_IR_Act_8-3-22.pdf" xr:uid="{AF832EF4-902D-47A0-9142-885D3DB8D4D2}"/>
    <hyperlink ref="R7" r:id="rId94" xr:uid="{6EFD7754-1E2A-46BF-897D-0D0BF94FAB29}"/>
    <hyperlink ref="R78" r:id="rId95" location=":~:text=Our%20forests%20cover%20more%20than,acres%20are%20in%20national%20forests." xr:uid="{D551A0EB-E77D-4FDB-87FC-4AA4D051188A}"/>
    <hyperlink ref="R77" r:id="rId96" xr:uid="{89273C59-455F-451A-8F21-644AB40C86C8}"/>
    <hyperlink ref="R84" r:id="rId97" xr:uid="{78135024-6982-4E64-90E7-AA623053583F}"/>
    <hyperlink ref="Q87" r:id="rId98" xr:uid="{FE47AF1B-B82D-4ED9-9C4C-F6117A10F08A}"/>
    <hyperlink ref="Q171" r:id="rId99" xr:uid="{E4B3065C-9493-48D2-8F47-E51D22CB6F71}"/>
    <hyperlink ref="Q173" r:id="rId100" xr:uid="{628F71AD-7D24-4ECC-AE35-622E7AC76DDC}"/>
    <hyperlink ref="Q126" r:id="rId101" xr:uid="{02EF142D-95FE-4EDB-91EC-7796B0D86B42}"/>
    <hyperlink ref="Q93" r:id="rId102" xr:uid="{AB54A9EE-2371-4FC6-AFD0-40546D3F77EF}"/>
    <hyperlink ref="Q94" r:id="rId103" xr:uid="{BFA9C7BD-4EA0-45DE-BCC7-1B88F626A053}"/>
    <hyperlink ref="Q95" r:id="rId104" xr:uid="{53641328-0B89-49AF-B64E-97B0E6610C0F}"/>
    <hyperlink ref="Q96" r:id="rId105" xr:uid="{C8D4FFB2-2F27-43B1-8FDD-606D9F0E32F5}"/>
    <hyperlink ref="Q97" r:id="rId106" xr:uid="{A809ED8A-31D7-4A12-A17A-AD2FD349AEFA}"/>
    <hyperlink ref="Q108" r:id="rId107" xr:uid="{98A0BD37-6745-45F8-94AE-617F3494BAF2}"/>
    <hyperlink ref="Q107" r:id="rId108" xr:uid="{212CC2C0-615B-4644-A3D4-A6E8C60C8229}"/>
    <hyperlink ref="Q106" r:id="rId109" xr:uid="{931AA5E5-0140-434D-8371-555CCEC1B1FC}"/>
    <hyperlink ref="Q98:Q105" r:id="rId110" display="Akin Gump summary" xr:uid="{F603324F-349F-4DC4-8323-52CD462D4718}"/>
    <hyperlink ref="Q110" r:id="rId111" xr:uid="{A2FC9BC4-5463-4CC2-A6FA-AADE9ABCDC5A}"/>
    <hyperlink ref="Q111:Q120" r:id="rId112" display="Akin Gump summary" xr:uid="{167DFC18-49FC-46A9-92BA-E65F10F1E32B}"/>
    <hyperlink ref="R126" r:id="rId113" xr:uid="{4D87676D-2C02-455B-9F04-09E95A254421}"/>
    <hyperlink ref="Q127" r:id="rId114" xr:uid="{885BFB2A-11E5-4FFE-8FC2-82A9539614BC}"/>
    <hyperlink ref="Q128" r:id="rId115" xr:uid="{30AA803C-0965-48D0-B6B3-E5A7D4FF7153}"/>
    <hyperlink ref="Q129" r:id="rId116" xr:uid="{6340AB12-2154-40C8-9438-19F67933F194}"/>
    <hyperlink ref="Q130" r:id="rId117" xr:uid="{F7FA925E-69CF-46B8-AED0-EC4B99000DCB}"/>
    <hyperlink ref="J93" r:id="rId118" xr:uid="{192AABF3-1E21-4848-A32A-B4707DB43345}"/>
    <hyperlink ref="J94" r:id="rId119" xr:uid="{21EEA8FF-E0AE-401F-A572-D4DEA926B9CE}"/>
    <hyperlink ref="P125" r:id="rId120" display="https://www.cbo.gov/system/files/2022-08/hr5376_IR_Act_8-3-22.pdf" xr:uid="{33D2B818-7BBC-4237-9E0C-D16B2671BD5E}"/>
    <hyperlink ref="Q125" r:id="rId121" display="Akin Gump summary" xr:uid="{8F685B74-041D-4CB0-BFAA-F36102E9E05B}"/>
    <hyperlink ref="J67" r:id="rId122" display="Based on existing USDA energy investments" xr:uid="{19DBDE3B-D5D8-48CE-8BB1-B7FA0ECC891A}"/>
    <hyperlink ref="J19" r:id="rId123" xr:uid="{7A589BC0-F3C0-45BA-826F-2CEFD189D0F7}"/>
    <hyperlink ref="J20" r:id="rId124" xr:uid="{44A71F2D-7F2A-4377-9057-A6B4CC8EC7DA}"/>
    <hyperlink ref="J22" r:id="rId125" xr:uid="{7EC2EE59-B021-4C01-BB68-33B1AFC29481}"/>
    <hyperlink ref="J25" r:id="rId126" xr:uid="{B7BDC8AB-9810-4EED-9F0E-7ABF799600E7}"/>
    <hyperlink ref="J26" r:id="rId127" display="Basedo n NC receiving ~2.3% of Medicaid dollars" xr:uid="{5C4F5DDC-1280-49B2-A382-EADC2C33EA5B}"/>
    <hyperlink ref="Q21" r:id="rId128" xr:uid="{5F84C5A9-F111-4DAE-AA07-960AE0E018C1}"/>
    <hyperlink ref="P150" r:id="rId129" display="https://www.cbo.gov/system/files/2022-08/hr5376_IR_Act_8-3-22.pdf" xr:uid="{0D302311-DED9-4EF9-A6FF-5E794757F05A}"/>
    <hyperlink ref="P151" r:id="rId130" display="https://www.cbo.gov/system/files/2022-08/hr5376_IR_Act_8-3-22.pdf" xr:uid="{F67C4547-654C-4E55-AB34-98DD33B3AD52}"/>
    <hyperlink ref="P152" r:id="rId131" display="https://www.cbo.gov/system/files/2022-08/hr5376_IR_Act_8-3-22.pdf" xr:uid="{ED59172A-E47E-4FF1-B8DB-15AD449E7391}"/>
    <hyperlink ref="P153" r:id="rId132" display="https://www.cbo.gov/system/files/2022-08/hr5376_IR_Act_8-3-22.pdf" xr:uid="{7A98E454-D65D-4E65-B55A-35509B9BB17B}"/>
    <hyperlink ref="P154" r:id="rId133" display="https://www.cbo.gov/system/files/2022-08/hr5376_IR_Act_8-3-22.pdf" xr:uid="{D34D0492-C89F-4D27-B568-636C4EFF71B1}"/>
    <hyperlink ref="P155" r:id="rId134" display="https://www.cbo.gov/system/files/2022-08/hr5376_IR_Act_8-3-22.pdf" xr:uid="{C53BAD2D-2664-4F82-B43A-46078ED88C02}"/>
    <hyperlink ref="J168" r:id="rId135" display="Based on NC's share of DHS-FEMA fund from 2017-2022" xr:uid="{D3EF53CC-22DE-487B-90B0-1C86EC81099D}"/>
    <hyperlink ref="P145:P148" r:id="rId136" display="https://www.cbo.gov/system/files/2022-08/hr5376_IR_Act_8-3-22.pdf" xr:uid="{143071F8-78EE-450A-86A8-8E440E40553D}"/>
    <hyperlink ref="Q145" r:id="rId137" location=":~:text=Introduction-,On%20August%2016%2C%202022%2C%20President%20Biden%20signed%20H.R.,the%20oil%20and%20gas%20industry." xr:uid="{14CEC00B-CD93-4B34-8143-F1A174E76FE7}"/>
    <hyperlink ref="Q146" r:id="rId138" xr:uid="{853D6D67-9FDC-445C-8438-CB417E17FBD7}"/>
    <hyperlink ref="Q147" r:id="rId139" xr:uid="{E14590BD-EECD-46A5-9B92-C3D5395C2618}"/>
    <hyperlink ref="Q148" r:id="rId140" xr:uid="{EBCFCB12-3B33-4E7E-BD4D-FA87F5925B9C}"/>
    <hyperlink ref="Q121" r:id="rId141" xr:uid="{A6E67CFC-13C0-4651-9F76-AFF872CEC603}"/>
    <hyperlink ref="Q122" r:id="rId142" xr:uid="{F17B5AD3-5006-4507-999D-87374E92175A}"/>
    <hyperlink ref="Q123" r:id="rId143" xr:uid="{D0796BAF-A7F2-456B-85FA-4E65F7D006D1}"/>
    <hyperlink ref="Q124" r:id="rId144" xr:uid="{DA491A3C-8C86-4B1C-A5D6-63096A214A32}"/>
    <hyperlink ref="R121" r:id="rId145" location=":~:text=Offshore%20oil%20and%20gas%20royalties,the%20enactment%20of%20the%20bill." display="http://https/www.pogo.org/analysis/2022/09/the-inflation-reduction-act-topline-oil-and-gas-reforms - :~:text=Offshore%20oil%20and%20gas%20royalties,the%20enactment%20of%20the%20bill." xr:uid="{101058A1-D60B-45E6-AA78-293DE787C394}"/>
    <hyperlink ref="R122" r:id="rId146" location=":~:text=Offshore%20oil%20and%20gas%20royalties,the%20enactment%20of%20the%20bill." display="http://https/www.pogo.org/analysis/2022/09/the-inflation-reduction-act-topline-oil-and-gas-reforms - :~:text=Offshore%20oil%20and%20gas%20royalties,the%20enactment%20of%20the%20bill." xr:uid="{FE9DC607-0FF7-4D6E-BF7F-0F4364B395BF}"/>
    <hyperlink ref="R123" r:id="rId147" location=":~:text=Offshore%20oil%20and%20gas%20royalties,the%20enactment%20of%20the%20bill." display="http://https/www.pogo.org/analysis/2022/09/the-inflation-reduction-act-topline-oil-and-gas-reforms - :~:text=Offshore%20oil%20and%20gas%20royalties,the%20enactment%20of%20the%20bill." xr:uid="{3FDB951B-6487-485C-9384-A0F3C2EC56C6}"/>
    <hyperlink ref="R124" r:id="rId148" location=":~:text=Offshore%20oil%20and%20gas%20royalties,the%20enactment%20of%20the%20bill." display="http://https/www.pogo.org/analysis/2022/09/the-inflation-reduction-act-topline-oil-and-gas-reforms - :~:text=Offshore%20oil%20and%20gas%20royalties,the%20enactment%20of%20the%20bill." xr:uid="{3323D9CE-074E-4493-AD53-641A05758A76}"/>
    <hyperlink ref="J31" r:id="rId149" location="/topic/0?agg=2,0,1&amp;fuel=06&amp;geo=g0fvvvvvvvvvo&amp;sec=g&amp;linechart=ELEC.GEN.AOR-NC-99.M~ELEC.GEN.AOR-US-99.M&amp;columnchart=ELEC.GEN.HYC-US-99.M&amp;map=ELEC.GEN.HYC-US-99.M&amp;freq=M&amp;start=201706&amp;end=202205&amp;ctype=linechart&amp;ltype=pin&amp;rtype=s&amp;maptype=0&amp;rse=0&amp;pin=" display="Based on past NC share of non-hydroelectric renewable energy (EIA)" xr:uid="{3E0882F2-C258-4033-B234-66205DF626BE}"/>
    <hyperlink ref="R81" r:id="rId150" xr:uid="{FC17ABD8-16A3-4EC5-A52D-983266BD010A}"/>
    <hyperlink ref="J32" r:id="rId151" location="/topic/0?agg=2,0,1&amp;fuel=06&amp;geo=g0fvvvvvvvvvo&amp;sec=g&amp;linechart=ELEC.GEN.AOR-NC-99.M~ELEC.GEN.AOR-US-99.M&amp;columnchart=ELEC.GEN.HYC-US-99.M&amp;map=ELEC.GEN.HYC-US-99.M&amp;freq=M&amp;start=201706&amp;end=202205&amp;ctype=linechart&amp;ltype=pin&amp;rtype=s&amp;maptype=0&amp;rse=0&amp;pin=" display="Based on past NC share of non-hydroelectric renewable energy (EIA)" xr:uid="{2C89F16B-E9BF-40D8-9D80-A9744A802EC9}"/>
    <hyperlink ref="J36" r:id="rId152" location="/topic/0?agg=2,0,1&amp;fuel=06&amp;geo=g0fvvvvvvvvvo&amp;sec=g&amp;linechart=ELEC.GEN.AOR-NC-99.M~ELEC.GEN.AOR-US-99.M&amp;columnchart=ELEC.GEN.HYC-US-99.M&amp;map=ELEC.GEN.HYC-US-99.M&amp;freq=M&amp;start=201706&amp;end=202205&amp;ctype=linechart&amp;ltype=pin&amp;rtype=s&amp;maptype=0&amp;rse=0&amp;pin=" display="Based on past NC share of non-hydroelectric renewable energy (EIA)" xr:uid="{06EE816F-584D-4BB8-B5AA-F303226DA335}"/>
    <hyperlink ref="J37" r:id="rId153" location="/topic/0?agg=2,0,1&amp;fuel=06&amp;geo=g0fvvvvvvvvvo&amp;sec=g&amp;linechart=ELEC.GEN.AOR-NC-99.M~ELEC.GEN.AOR-US-99.M&amp;columnchart=ELEC.GEN.HYC-US-99.M&amp;map=ELEC.GEN.HYC-US-99.M&amp;freq=M&amp;start=201706&amp;end=202205&amp;ctype=linechart&amp;ltype=pin&amp;rtype=s&amp;maptype=0&amp;rse=0&amp;pin=" display="Based on past NC share of non-hydroelectric renewable energy (EIA)" xr:uid="{585948B5-C8AF-423D-91F6-047B2E223F39}"/>
    <hyperlink ref="J38" r:id="rId154" location="/topic/0?agg=2,0,1&amp;fuel=06&amp;geo=g0fvvvvvvvvvo&amp;sec=g&amp;linechart=ELEC.GEN.AOR-NC-99.M~ELEC.GEN.AOR-US-99.M&amp;columnchart=ELEC.GEN.HYC-US-99.M&amp;map=ELEC.GEN.HYC-US-99.M&amp;freq=M&amp;start=201706&amp;end=202205&amp;ctype=linechart&amp;ltype=pin&amp;rtype=s&amp;maptype=0&amp;rse=0&amp;pin=" display="Based on past NC share of non-hydroelectric renewable energy (EIA)" xr:uid="{09B11CA2-AC9C-4973-A76B-E5F5A49443F7}"/>
    <hyperlink ref="R38" r:id="rId155" location="/topic/0?agg=2,0,1&amp;fuel=06&amp;geo=g0fvvvvvvvvvo&amp;sec=g&amp;linechart=ELEC.GEN.AOR-NC-99.M~ELEC.GEN.AOR-US-99.M&amp;columnchart=ELEC.GEN.HYC-US-99.M&amp;map=ELEC.GEN.HYC-US-99.M&amp;freq=M&amp;start=201706&amp;end=202205&amp;ctype=linechart&amp;ltype=pin&amp;rtype=s&amp;maptype=0&amp;rse=0&amp;pin=" xr:uid="{BB57B141-1E2E-4673-9DE7-1233E50BEB5A}"/>
    <hyperlink ref="R37" r:id="rId156" location="/topic/0?agg=2,0,1&amp;fuel=06&amp;geo=g0fvvvvvvvvvo&amp;sec=g&amp;linechart=ELEC.GEN.AOR-NC-99.M~ELEC.GEN.AOR-US-99.M&amp;columnchart=ELEC.GEN.HYC-US-99.M&amp;map=ELEC.GEN.HYC-US-99.M&amp;freq=M&amp;start=201706&amp;end=202205&amp;ctype=linechart&amp;ltype=pin&amp;rtype=s&amp;maptype=0&amp;rse=0&amp;pin=" xr:uid="{0D8FFE3D-7043-4778-B89B-0BEC522F83C1}"/>
    <hyperlink ref="R36" r:id="rId157" location="/topic/0?agg=2,0,1&amp;fuel=06&amp;geo=g0fvvvvvvvvvo&amp;sec=g&amp;linechart=ELEC.GEN.AOR-NC-99.M~ELEC.GEN.AOR-US-99.M&amp;columnchart=ELEC.GEN.HYC-US-99.M&amp;map=ELEC.GEN.HYC-US-99.M&amp;freq=M&amp;start=201706&amp;end=202205&amp;ctype=linechart&amp;ltype=pin&amp;rtype=s&amp;maptype=0&amp;rse=0&amp;pin=" xr:uid="{7240D2D6-19DB-4445-9154-B9FDAB76D124}"/>
    <hyperlink ref="R32" r:id="rId158" location="/topic/0?agg=2,0,1&amp;fuel=06&amp;geo=g0fvvvvvvvvvo&amp;sec=g&amp;linechart=ELEC.GEN.AOR-NC-99.M~ELEC.GEN.AOR-US-99.M&amp;columnchart=ELEC.GEN.HYC-US-99.M&amp;map=ELEC.GEN.HYC-US-99.M&amp;freq=M&amp;start=201706&amp;end=202205&amp;ctype=linechart&amp;ltype=pin&amp;rtype=s&amp;maptype=0&amp;rse=0&amp;pin=" xr:uid="{5CC1B271-B761-47C0-89E5-46EEC81DA4BA}"/>
    <hyperlink ref="R31" r:id="rId159" location="/topic/0?agg=2,0,1&amp;fuel=06&amp;geo=g0fvvvvvvvvvo&amp;sec=g&amp;linechart=ELEC.GEN.AOR-NC-99.M~ELEC.GEN.AOR-US-99.M&amp;columnchart=ELEC.GEN.HYC-US-99.M&amp;map=ELEC.GEN.HYC-US-99.M&amp;freq=M&amp;start=201706&amp;end=202205&amp;ctype=linechart&amp;ltype=pin&amp;rtype=s&amp;maptype=0&amp;rse=0&amp;pin=" xr:uid="{4BA009B6-5CF3-43E6-9E8E-9857A3ACF69C}"/>
    <hyperlink ref="J35" r:id="rId160" location="/topic/0?agg=1,0,2&amp;fuel=08&amp;geo=vvvvvvvvvvvvo&amp;sec=o3g&amp;linechart=~ELEC.GEN.NUC-NC-1.Q~ELEC.GEN.NUC-US-99.Q~&amp;columnchart=ELEC.GEN.NUC-US-99.Q~ELEC.GEN.NUC-PA-99.Q~ELEC.GEN.NUC-IL-99.Q&amp;map=ELEC.GEN.NUC-US-99.Q&amp;freq=Q&amp;ctype=linechart&amp;ltype=pin&amp;rtype=s&amp;pin=&amp;rse=0&amp;maptype=0" display="Based on NC's recent national share of nuclear power generation (5.2%-5.5%)" xr:uid="{B7617A25-8B55-44FE-AEA6-9BA33BD88723}"/>
    <hyperlink ref="R33" r:id="rId161" xr:uid="{5A9B1B5A-B40A-494E-84AB-7951C24D2071}"/>
    <hyperlink ref="P33" r:id="rId162" xr:uid="{9E15B97C-D7AB-4522-90EE-7DCB2D976DB2}"/>
    <hyperlink ref="Q33" r:id="rId163" xr:uid="{8C7A59F1-4EA8-453E-A693-81A309FAAA63}"/>
    <hyperlink ref="J34" r:id="rId164" display="Based on NC's share of CO2 emissions from electric power and industrial facilities in 2021 (2.1% plus a 1% buffer)" xr:uid="{C57FA004-2A5B-4EB8-8064-2C55AE10BBF3}"/>
    <hyperlink ref="R35" r:id="rId165" location="/topic/0?agg=1,0,2&amp;fuel=08&amp;geo=vvvvvvvvvvvvo&amp;sec=o3g&amp;linechart=~ELEC.GEN.NUC-NC-1.Q~ELEC.GEN.NUC-US-99.Q~&amp;columnchart=ELEC.GEN.NUC-US-99.Q~ELEC.GEN.NUC-PA-99.Q~ELEC.GEN.NUC-IL-99.Q&amp;map=ELEC.GEN.NUC-US-99.Q&amp;freq=Q&amp;ctype=linechart&amp;ltype=pin&amp;rtype=s&amp;pin=&amp;rse=0&amp;maptype=0" xr:uid="{37C1DECE-DD92-4B3A-9A95-D0A1A4F434F3}"/>
    <hyperlink ref="P35" r:id="rId166" xr:uid="{CCCBF545-4885-4301-8109-2FD5A53E10F6}"/>
    <hyperlink ref="Q35" r:id="rId167" xr:uid="{A49AF236-8594-40AB-836E-4C2B07C27CCD}"/>
    <hyperlink ref="R34" r:id="rId168" xr:uid="{AB30E6A9-7713-4BB7-BFAC-AAA67CFE3C08}"/>
    <hyperlink ref="P34" r:id="rId169" xr:uid="{256E9295-1E5C-4AA9-9BE1-379E257C36B1}"/>
    <hyperlink ref="Q34" r:id="rId170" xr:uid="{3EBB7597-C79A-48B2-82F2-E04880F0A9D9}"/>
    <hyperlink ref="J51" r:id="rId171" display="Based on past NC market share for electric vehicles versus national average" xr:uid="{DA17583F-5A2F-48D4-97F5-10F91398A188}"/>
    <hyperlink ref="J52" r:id="rId172" display="Based on past NC market share for electric vehicles versus national average" xr:uid="{B55E24A8-64C1-44D7-BFF1-54D97A53E547}"/>
    <hyperlink ref="J53" r:id="rId173" display="Based on past NC market share for electric vehicles versus national average" xr:uid="{24A05DE7-0A60-4599-9439-2DB565DEB2E3}"/>
    <hyperlink ref="J54" r:id="rId174" display="Based on past NC market share for electric vehicles versus national average" xr:uid="{FB739558-09F2-4958-BB74-7FDAE5407B59}"/>
    <hyperlink ref="J59" r:id="rId175" xr:uid="{86FE90F4-06C1-4D1C-8A1D-75B44565B364}"/>
    <hyperlink ref="R53" r:id="rId176" xr:uid="{CF78DC95-B789-48C4-8E56-3873C2CAEC05}"/>
    <hyperlink ref="J40:J44" r:id="rId177" location="Incentives" display="Based on past NC share of alternative fuel incentives dating back to 2015." xr:uid="{B8E09F08-CB16-447E-977C-4863988F7C3E}"/>
    <hyperlink ref="R40" r:id="rId178" location="Incentives" xr:uid="{C1FC5733-2052-486B-8BA3-AAD900006CC7}"/>
    <hyperlink ref="R41:R44" r:id="rId179" location="Incentives" display="AFDC" xr:uid="{ECFBC7A0-E1C7-4D3D-A742-F6816853AC55}"/>
    <hyperlink ref="J151:J155" r:id="rId180" display="Based on previous estimates of NC share of discretionary funding received from USDOT" xr:uid="{8FD582F5-8240-4218-92C1-CDD7ADF21E1F}"/>
    <hyperlink ref="Q150" r:id="rId181" xr:uid="{B95B1ABF-24CB-4CBC-9CF3-9A0E7A5E2749}"/>
    <hyperlink ref="Q151:Q155" r:id="rId182" display="USDOT" xr:uid="{DA846289-C73D-4B88-81D6-C1A3030EF9B7}"/>
    <hyperlink ref="P157" r:id="rId183" xr:uid="{5048040E-67BC-4F0C-A2C6-BC10D4A199A2}"/>
    <hyperlink ref="J150" r:id="rId184" xr:uid="{5654192E-615D-4E36-948D-2BC8323D8359}"/>
    <hyperlink ref="J157" r:id="rId185" xr:uid="{AD028BC5-7EC9-4393-BC96-1A80005EC0C1}"/>
    <hyperlink ref="P159" r:id="rId186" xr:uid="{725E5031-8055-4B41-ADFC-D2A721D74965}"/>
    <hyperlink ref="P158" r:id="rId187" xr:uid="{3AFD2179-5111-4371-9EC9-0512079ACA97}"/>
    <hyperlink ref="P160" r:id="rId188" xr:uid="{68AEEF47-5069-49D9-8F22-94333B2B1E5E}"/>
    <hyperlink ref="J68:J70" r:id="rId189" display="Based on existing USDA energy investments" xr:uid="{18CCDADC-7A2C-4A6D-A7F0-C5E8913A33A8}"/>
    <hyperlink ref="J133" r:id="rId190" display="Based on past NC market share for electric vehicles versus national average" xr:uid="{27474E28-D3A6-4913-B975-D70C93C3E712}"/>
    <hyperlink ref="J134" r:id="rId191" display="Based on past NC share of waterborne foreign container trade" xr:uid="{AA8C95D8-D556-4368-B22D-29BD4C42CEFD}"/>
    <hyperlink ref="Q141" r:id="rId192" xr:uid="{E7A0589D-A7AE-4C80-94DF-57DBAF083879}"/>
    <hyperlink ref="Q142" r:id="rId193" xr:uid="{4131F41E-1FC3-4467-9345-C714CD7763D5}"/>
    <hyperlink ref="Q135" r:id="rId194" xr:uid="{9F39DA72-6013-4F6A-AF87-55BF42C12871}"/>
    <hyperlink ref="Q133" r:id="rId195" xr:uid="{80DF484A-A989-416B-A953-F67C5417F242}"/>
    <hyperlink ref="Q134" r:id="rId196" xr:uid="{5DB187FF-C589-4536-8B86-D167FCC0E423}"/>
    <hyperlink ref="R133" r:id="rId197" xr:uid="{61FEAB01-F1AA-4494-B929-8284D7169EA5}"/>
    <hyperlink ref="Q136" r:id="rId198" xr:uid="{E08FA507-34F9-4BBB-9D41-EEFBF9198B25}"/>
    <hyperlink ref="Q137" r:id="rId199" xr:uid="{38A984D2-278C-492C-A8C5-F6BC9841EFE3}"/>
    <hyperlink ref="Q138" r:id="rId200" xr:uid="{CF49FFC9-07DC-4F7E-AC05-36367862A30A}"/>
    <hyperlink ref="Q140" r:id="rId201" xr:uid="{BE50FF0E-04F3-4D79-8881-EFCED3E590BB}"/>
    <hyperlink ref="R141" r:id="rId202" xr:uid="{74A161B0-8CC9-4A36-8C50-5464B25AB865}"/>
    <hyperlink ref="R142" r:id="rId203" xr:uid="{8A4F1E65-85BC-47CD-A0C7-9AA3A6D32B56}"/>
    <hyperlink ref="R145" r:id="rId204" xr:uid="{EF8F0EB7-3F48-4EF8-A32C-D63BAB0EE760}"/>
    <hyperlink ref="R146" r:id="rId205" xr:uid="{0EB3D810-5AF4-4568-AA1D-CC7CC40BFDBB}"/>
    <hyperlink ref="R147" r:id="rId206" xr:uid="{0AD5E586-CE69-4347-A8D9-99CBA03301E2}"/>
    <hyperlink ref="R148" r:id="rId207" xr:uid="{B3208593-D8A2-4176-B5D8-8123764DFA83}"/>
    <hyperlink ref="Q144" r:id="rId208" xr:uid="{7C4A9F65-9756-4FD4-8D59-03A838EEA5DE}"/>
    <hyperlink ref="R140" r:id="rId209" xr:uid="{22BE303E-EA1D-484F-A9E7-3C589EBF2D77}"/>
    <hyperlink ref="J65" r:id="rId210" display="1.5% based on number of farm and size of NC farms as share of national total" xr:uid="{36BD3369-E9B7-4019-99BC-19C2AB780899}"/>
    <hyperlink ref="J72" r:id="rId211" display="1%-4% based on NC borrowers' USDA total loan share (1.7%) and socially disadvantaged share (4.2%)" xr:uid="{9EBAC997-F8A1-48E9-A607-1DB642C09C8A}"/>
    <hyperlink ref="J73" r:id="rId212" display="1.5%-2.5% based on NC's share of USDA loans to socially disadvantaged, beginning, and veteran borrowers in FFY21" xr:uid="{D90EFF29-F568-4658-8D41-8822BEFFB16B}"/>
    <hyperlink ref="P15" r:id="rId213" xr:uid="{944D90A2-4F41-4D41-A2F8-C346467C58DE}"/>
    <hyperlink ref="P18:P26" r:id="rId214" display="CBO" xr:uid="{B72C3B72-9A54-41DF-881D-FA2E222AF45D}"/>
    <hyperlink ref="P28" r:id="rId215" xr:uid="{A8D59713-F40D-40B0-8E90-9890EECE454D}"/>
    <hyperlink ref="Q82" r:id="rId216" xr:uid="{C09F24B4-3E57-4BAF-8CC2-9435CF4C6A17}"/>
    <hyperlink ref="P81" r:id="rId217" xr:uid="{82ADF4BA-12F7-44CC-9C0C-7397E0FFEEE9}"/>
    <hyperlink ref="P79" r:id="rId218" xr:uid="{B3E30E04-4B8F-4533-B27A-72D6AB85DCE7}"/>
    <hyperlink ref="Q76:Q78" r:id="rId219" display="CBO" xr:uid="{AC51A5F3-BFA4-48FC-BD7F-44926C89E1B8}"/>
    <hyperlink ref="P67:P70" r:id="rId220" display="CBO" xr:uid="{311269F7-7491-4215-AB4C-B736C8262D23}"/>
    <hyperlink ref="P64:P65" r:id="rId221" display="CBO" xr:uid="{C1E9C004-D9C5-468E-93E3-8463E844F66F}"/>
    <hyperlink ref="Q56:Q57" r:id="rId222" display="CBO" xr:uid="{650FE75C-A537-4620-9177-77DBA799F232}"/>
    <hyperlink ref="P84:P89" r:id="rId223" display="CBO" xr:uid="{CA88DA01-8A48-4367-9E0F-AA3A4171EF59}"/>
    <hyperlink ref="P93:P108" r:id="rId224" display="CBO" xr:uid="{42EE2F48-3B61-4582-BBB8-F0BADB240FE6}"/>
    <hyperlink ref="P110:P112" r:id="rId225" display="CBO" xr:uid="{987B546F-04D2-4DAE-A280-4ED7D5AA6D45}"/>
    <hyperlink ref="P120:P124" r:id="rId226" display="CBO" xr:uid="{1F3E89BF-7CFC-4AFA-9808-05AF4760C4DC}"/>
    <hyperlink ref="P126:P130" r:id="rId227" display="CBO" xr:uid="{0342AA72-7531-4ECD-B469-B6D7449B9FBA}"/>
    <hyperlink ref="P133:P148" r:id="rId228" display="CBO" xr:uid="{7F9FA5FC-AAB9-4478-8D66-12C0D8E6ABAA}"/>
    <hyperlink ref="P150:P155" r:id="rId229" display="CBO" xr:uid="{07E56A1B-1B23-4143-B08A-6E8F8366BE82}"/>
    <hyperlink ref="P10" r:id="rId230" xr:uid="{57D8F1FE-E9F8-4FD9-82C8-8A150AD9BF96}"/>
    <hyperlink ref="Q10" r:id="rId231" xr:uid="{269FD020-25AD-4451-B327-EADA9B0A27C8}"/>
    <hyperlink ref="R169" r:id="rId232" xr:uid="{596A3510-455B-4C73-BBD2-6E0729EF5AB9}"/>
    <hyperlink ref="R118" r:id="rId233" xr:uid="{E5D0BE17-F1C0-4273-8894-6B36D603344A}"/>
    <hyperlink ref="P111" r:id="rId234" xr:uid="{3E0B736B-20DA-4A0B-853D-DC2DE7856E7E}"/>
    <hyperlink ref="P112" r:id="rId235" xr:uid="{D737CD5E-3AD5-4FDA-A34C-9367396884EB}"/>
    <hyperlink ref="P113" r:id="rId236" xr:uid="{BEC803C4-E69F-4AF7-A95B-8F40DFE3B587}"/>
    <hyperlink ref="P114" r:id="rId237" xr:uid="{0BF8D1E7-974D-40D1-8725-60E2417676F5}"/>
    <hyperlink ref="P115" r:id="rId238" xr:uid="{8E75FA61-CB5D-413A-8594-00EB1785CDED}"/>
    <hyperlink ref="P116" r:id="rId239" xr:uid="{926ECD09-2FCD-43CD-8991-3959C5F28233}"/>
    <hyperlink ref="P117" r:id="rId240" xr:uid="{161E8AD1-2571-4CF9-80AE-ACBB2E675A6D}"/>
    <hyperlink ref="P118" r:id="rId241" xr:uid="{01333CBC-CB8A-4ECD-8704-95FE7BA37C54}"/>
    <hyperlink ref="Q111" r:id="rId242" xr:uid="{3404D384-04CF-4A0A-A771-C0607D2A189B}"/>
    <hyperlink ref="Q112" r:id="rId243" xr:uid="{BBF91A74-11CF-4A3A-9D19-D0DF21AEF697}"/>
    <hyperlink ref="Q113" r:id="rId244" xr:uid="{8A9D8EDA-44D9-40DF-AC49-65CC29ED6243}"/>
    <hyperlink ref="Q114" r:id="rId245" xr:uid="{F21931D8-F0D0-4006-9A5B-BFCB4B7528DD}"/>
    <hyperlink ref="Q115" r:id="rId246" xr:uid="{EEA63F69-FCB8-49D1-B4CE-1544A7F2E8E2}"/>
    <hyperlink ref="Q116" r:id="rId247" xr:uid="{A8DF77AF-5593-41FA-9090-4EA5C1FFD7FF}"/>
    <hyperlink ref="Q117" r:id="rId248" xr:uid="{1D382BAC-2894-4D00-A08B-F975C3D9D7EA}"/>
    <hyperlink ref="Q118" r:id="rId249" xr:uid="{DD7E9246-0FD6-49A2-A017-24D4797E87BD}"/>
    <hyperlink ref="Q120" r:id="rId250" xr:uid="{7F790A29-7DB3-470D-AE97-38AFC6A1D0A4}"/>
    <hyperlink ref="R120" r:id="rId251" location=":~:text=Offshore%20oil%20and%20gas%20royalties,the%20enactment%20of%20the%20bill." display="http://https/www.pogo.org/analysis/2022/09/the-inflation-reduction-act-topline-oil-and-gas-reforms - :~:text=Offshore%20oil%20and%20gas%20royalties,the%20enactment%20of%20the%20bill." xr:uid="{D3EBC918-15D5-43B9-84F0-E792200D7A1E}"/>
    <hyperlink ref="P120" r:id="rId252" xr:uid="{5A738714-9F57-4E97-A6C9-845E341D5229}"/>
    <hyperlink ref="J158:J161" r:id="rId253" display="Based on previous estimates of NC share of discretionary funding received for environmental projects" xr:uid="{0E474DD8-0EF7-4C6C-9C88-6D070A6884A7}"/>
    <hyperlink ref="Q157" r:id="rId254" display="https://www.cbo.gov/system/files/2022-08/hr5376_IR_Act_8-3-22.pdf" xr:uid="{1880F7B8-1CF1-46F8-8BD8-C4733197E3C1}"/>
    <hyperlink ref="Q158" r:id="rId255" display="https://www.cbo.gov/system/files/2022-08/hr5376_IR_Act_8-3-22.pdf" xr:uid="{667908D0-3C8E-4D68-99CC-DD304F5A046C}"/>
    <hyperlink ref="Q159" r:id="rId256" display="https://www.cbo.gov/system/files/2022-08/hr5376_IR_Act_8-3-22.pdf" xr:uid="{3A6CB314-5813-49B6-9686-3A77249D3EA9}"/>
    <hyperlink ref="Q160" r:id="rId257" display="https://www.cbo.gov/system/files/2022-08/hr5376_IR_Act_8-3-22.pdf" xr:uid="{0F41B063-15E6-4494-8BBA-FB7686BAB4A4}"/>
    <hyperlink ref="Q161" r:id="rId258" display="https://www.cbo.gov/system/files/2022-08/hr5376_IR_Act_8-3-22.pdf" xr:uid="{B0851B57-237D-4110-87B2-439CFA0B363E}"/>
    <hyperlink ref="J160" r:id="rId259" display="Based on previous estimates of NC share of discretionary funding received for environmental projects" xr:uid="{A0DB3894-01C2-4A55-9C17-3FFA21B1DDF3}"/>
    <hyperlink ref="P161" r:id="rId260" xr:uid="{79B4563E-3718-4C55-B116-86ED0E2BEE38}"/>
    <hyperlink ref="P72:P74" r:id="rId261" display="https://www.congress.gov/bill/117th-congress/house-bill/5376/text" xr:uid="{25D0FB17-3098-4875-A8EA-87AEA8BF7490}"/>
    <hyperlink ref="Q72" r:id="rId262" xr:uid="{156B5B44-D38B-4B76-A98C-3CEBC673BA8E}"/>
    <hyperlink ref="P14" r:id="rId263" xr:uid="{C8BEEB2A-9AB0-4E5E-8FAA-C35F243B2F29}"/>
  </hyperlinks>
  <pageMargins left="0.25" right="0.25" top="0.75" bottom="0.75" header="0.3" footer="0.3"/>
  <pageSetup paperSize="5" scale="48" fitToHeight="0" orientation="landscape" r:id="rId26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16AED-E15E-4E71-A23C-D463893A0D77}">
  <dimension ref="A1:K52"/>
  <sheetViews>
    <sheetView workbookViewId="0">
      <pane ySplit="2" topLeftCell="A21" activePane="bottomLeft" state="frozen"/>
      <selection pane="bottomLeft" activeCell="M12" sqref="M12"/>
    </sheetView>
  </sheetViews>
  <sheetFormatPr defaultRowHeight="15"/>
  <cols>
    <col min="1" max="1" width="84.42578125" customWidth="1"/>
    <col min="2" max="2" width="14.42578125" customWidth="1"/>
    <col min="3" max="4" width="10.140625" bestFit="1" customWidth="1"/>
    <col min="5" max="5" width="21.85546875" bestFit="1" customWidth="1"/>
    <col min="6" max="6" width="20.7109375" bestFit="1" customWidth="1"/>
    <col min="7" max="7" width="20.7109375" customWidth="1"/>
    <col min="8" max="8" width="15.85546875" bestFit="1" customWidth="1"/>
  </cols>
  <sheetData>
    <row r="1" spans="1:11" ht="15.75">
      <c r="C1" s="58" t="s">
        <v>679</v>
      </c>
      <c r="D1" s="58"/>
    </row>
    <row r="2" spans="1:11" ht="15.75">
      <c r="A2" s="43" t="s">
        <v>680</v>
      </c>
      <c r="B2" s="43" t="s">
        <v>681</v>
      </c>
      <c r="C2" s="47" t="s">
        <v>17</v>
      </c>
      <c r="D2" s="47" t="s">
        <v>18</v>
      </c>
      <c r="E2" s="43" t="s">
        <v>682</v>
      </c>
      <c r="F2" s="43" t="s">
        <v>683</v>
      </c>
      <c r="G2" s="43" t="s">
        <v>684</v>
      </c>
      <c r="H2" s="43" t="s">
        <v>685</v>
      </c>
      <c r="J2" s="3"/>
      <c r="K2" s="3"/>
    </row>
    <row r="3" spans="1:11">
      <c r="A3" t="str" cm="1">
        <f t="array" ref="A3">INDEX(Tracker!C$31:C$174,SMALL(IF(Tracker!I$31:I$174=D3,ROW(Tracker!I$31:I$174)-ROW(INDEX(Tracker!I$31:I$174,1,1))+1),IF(D3=D2,2,1)))</f>
        <v>Energy Infrastructure Reinvestment Financing</v>
      </c>
      <c r="B3" s="42">
        <f>INDEX(Tracker!F$31:F$174,MATCH($A3,Tracker!$C$31:$C$174,0))</f>
        <v>250000</v>
      </c>
      <c r="C3" s="42" cm="1">
        <f t="array" ref="C3">INDEX(Tracker!H$31:H$174,SMALL(IF(Tracker!I$31:I$174=D3,ROW(Tracker!I$31:I$174)-ROW(INDEX(Tracker!I$31:I$174,1,1))+1),IF(D3=D2,2,1)))</f>
        <v>3600</v>
      </c>
      <c r="D3" s="42">
        <f>LARGE(Tracker!I$31:I$174,ROWS($2:2))</f>
        <v>9500</v>
      </c>
      <c r="E3" t="str">
        <f>INDEX(Tracker!D$31:D$174,MATCH($A3,Tracker!$C$31:$C$174,0))</f>
        <v>Loans</v>
      </c>
      <c r="F3" t="str">
        <f>INDEX(Tracker!E$31:E$174,MATCH($A3,Tracker!$C$31:$C$174,0))</f>
        <v>Competitive</v>
      </c>
      <c r="G3" t="s">
        <v>671</v>
      </c>
      <c r="H3" s="10" t="str" cm="1">
        <f t="array" aca="1" ref="H3" ca="1">HYPERLINK(CELL("address",INDIRECT("Tracker!C"&amp;MATCH($A3,Tracker!$C:$C,0))),"Go_to_Tracker")</f>
        <v>Go_to_Tracker</v>
      </c>
      <c r="J3" s="3"/>
      <c r="K3" s="3"/>
    </row>
    <row r="4" spans="1:11">
      <c r="A4" t="str" cm="1">
        <f t="array" ref="A4">INDEX(Tracker!C$31:C$174,SMALL(IF(Tracker!I$31:I$174=D4,ROW(Tracker!I$31:I$174)-ROW(INDEX(Tracker!I$31:I$174,1,1))+1),IF(D4=D3,IF(D4=D2,3,2),1)))</f>
        <v>Zero-Emission Nuclear Power Production Credit</v>
      </c>
      <c r="B4" s="42">
        <f>INDEX(Tracker!F$31:F$174,MATCH($A4,Tracker!$C$31:$C$174,0))</f>
        <v>30001</v>
      </c>
      <c r="C4" s="42" cm="1">
        <f t="array" ref="C4">INDEX(Tracker!H$31:H$174,SMALL(IF(Tracker!I$31:I$174=D4,ROW(Tracker!I$31:I$174)-ROW(INDEX(Tracker!I$31:I$174,1,1))+1),IF(D4=D3,2,1)))</f>
        <v>1200</v>
      </c>
      <c r="D4" s="42">
        <f>LARGE(Tracker!I$31:I$174,ROWS($2:3))</f>
        <v>1900</v>
      </c>
      <c r="E4" t="str">
        <f>INDEX(Tracker!D$31:D$174,MATCH($A4,Tracker!$C$31:$C$174,0))</f>
        <v>Tax Credit</v>
      </c>
      <c r="F4" t="str">
        <f>INDEX(Tracker!E$31:E$174,MATCH($A4,Tracker!$C$31:$C$174,0))</f>
        <v>Entitlement</v>
      </c>
      <c r="G4" t="s">
        <v>671</v>
      </c>
      <c r="H4" s="10" t="str" cm="1">
        <f t="array" aca="1" ref="H4" ca="1">HYPERLINK(CELL("address",INDIRECT("Tracker!C"&amp;MATCH($A4,Tracker!$C:$C,0))),"Go_to_Tracker")</f>
        <v>Go_to_Tracker</v>
      </c>
    </row>
    <row r="5" spans="1:11">
      <c r="A5" t="str" cm="1">
        <f t="array" ref="A5">INDEX(Tracker!C$31:C$174,SMALL(IF(Tracker!I$31:I$174=D5,ROW(Tracker!I$31:I$174)-ROW(INDEX(Tracker!I$31:I$174,1,1))+1),IF(D5=D4,IF(D5=D3,3,2),1)))</f>
        <v>Funding for DOE Loan Programs Office</v>
      </c>
      <c r="B5" s="42">
        <f>INDEX(Tracker!F$31:F$174,MATCH($A5,Tracker!$C$31:$C$174,0))</f>
        <v>40000</v>
      </c>
      <c r="C5" s="42" cm="1">
        <f t="array" ref="C5">INDEX(Tracker!H$31:H$174,SMALL(IF(Tracker!I$31:I$174=D5,ROW(Tracker!I$31:I$174)-ROW(INDEX(Tracker!I$31:I$174,1,1))+1),IF(D5=D4,2,1)))</f>
        <v>380</v>
      </c>
      <c r="D5" s="42">
        <f>LARGE(Tracker!I$31:I$174,ROWS($2:4))</f>
        <v>1900</v>
      </c>
      <c r="E5" t="str">
        <f>INDEX(Tracker!D$31:D$174,MATCH($A5,Tracker!$C$31:$C$174,0))</f>
        <v>Loans</v>
      </c>
      <c r="F5" t="str">
        <f>INDEX(Tracker!E$31:E$174,MATCH($A5,Tracker!$C$31:$C$174,0))</f>
        <v>Competitive</v>
      </c>
      <c r="G5" t="s">
        <v>671</v>
      </c>
      <c r="H5" s="10" t="str" cm="1">
        <f t="array" aca="1" ref="H5" ca="1">HYPERLINK(CELL("address",INDIRECT("Tracker!C"&amp;MATCH($A5,Tracker!$C:$C,0))),"Go_to_Tracker")</f>
        <v>Go_to_Tracker</v>
      </c>
    </row>
    <row r="6" spans="1:11">
      <c r="A6" t="str" cm="1">
        <f t="array" ref="A6">INDEX(Tracker!C$31:C$174,SMALL(IF(Tracker!I$31:I$174=D6,ROW(Tracker!I$31:I$174)-ROW(INDEX(Tracker!I$31:I$174,1,1))+1),IF(D6=D5,IF(D6=D4,3,2),1)))</f>
        <v>Extension and Modification of Credit for Electricity Produced from Certain Renewable Resources</v>
      </c>
      <c r="B6" s="42">
        <f>INDEX(Tracker!F$31:F$174,MATCH($A6,Tracker!$C$31:$C$174,0))</f>
        <v>51062</v>
      </c>
      <c r="C6" s="42" cm="1">
        <f t="array" ref="C6">INDEX(Tracker!H$31:H$174,SMALL(IF(Tracker!I$31:I$174=D6,ROW(Tracker!I$31:I$174)-ROW(INDEX(Tracker!I$31:I$174,1,1))+1),IF(D6=D5,2,1)))</f>
        <v>560</v>
      </c>
      <c r="D6" s="42">
        <f>LARGE(Tracker!I$31:I$174,ROWS($2:5))</f>
        <v>1700</v>
      </c>
      <c r="E6" t="str">
        <f>INDEX(Tracker!D$31:D$174,MATCH($A6,Tracker!$C$31:$C$174,0))</f>
        <v>Tax Credit</v>
      </c>
      <c r="F6" t="str">
        <f>INDEX(Tracker!E$31:E$174,MATCH($A6,Tracker!$C$31:$C$174,0))</f>
        <v>Entitlement</v>
      </c>
      <c r="G6" t="s">
        <v>671</v>
      </c>
      <c r="H6" s="10" t="str" cm="1">
        <f t="array" aca="1" ref="H6" ca="1">HYPERLINK(CELL("address",INDIRECT("Tracker!C"&amp;MATCH($A6,Tracker!$C:$C,0))),"Go_to_Tracker")</f>
        <v>Go_to_Tracker</v>
      </c>
    </row>
    <row r="7" spans="1:11">
      <c r="A7" t="str" cm="1">
        <f t="array" ref="A7">INDEX(Tracker!C$31:C$174,SMALL(IF(Tracker!I$31:I$174=D7,ROW(Tracker!I$31:I$174)-ROW(INDEX(Tracker!I$31:I$174,1,1))+1),IF(D7=D6,IF(D7=D5,3,2),1)))</f>
        <v>Clean Electricity Investment Credit</v>
      </c>
      <c r="B7" s="42">
        <f>INDEX(Tracker!F$31:F$174,MATCH($A7,Tracker!$C$31:$C$174,0))</f>
        <v>50858</v>
      </c>
      <c r="C7" s="42" cm="1">
        <f t="array" ref="C7">INDEX(Tracker!H$31:H$174,SMALL(IF(Tracker!I$31:I$174=D7,ROW(Tracker!I$31:I$174)-ROW(INDEX(Tracker!I$31:I$174,1,1))+1),IF(D7=D6,2,1)))</f>
        <v>560</v>
      </c>
      <c r="D7" s="42">
        <f>LARGE(Tracker!I$31:I$174,ROWS($2:6))</f>
        <v>1700</v>
      </c>
      <c r="E7" t="str">
        <f>INDEX(Tracker!D$31:D$174,MATCH($A7,Tracker!$C$31:$C$174,0))</f>
        <v>Tax Credit</v>
      </c>
      <c r="F7" t="str">
        <f>INDEX(Tracker!E$31:E$174,MATCH($A7,Tracker!$C$31:$C$174,0))</f>
        <v>Entitlement</v>
      </c>
      <c r="G7" t="s">
        <v>671</v>
      </c>
      <c r="H7" s="10" t="str" cm="1">
        <f t="array" aca="1" ref="H7" ca="1">HYPERLINK(CELL("address",INDIRECT("Tracker!C"&amp;MATCH($A7,Tracker!$C:$C,0))),"Go_to_Tracker")</f>
        <v>Go_to_Tracker</v>
      </c>
    </row>
    <row r="8" spans="1:11">
      <c r="A8" t="str" cm="1">
        <f t="array" ref="A8">INDEX(Tracker!C$31:C$174,SMALL(IF(Tracker!I$31:I$174=D8,ROW(Tracker!I$31:I$174)-ROW(INDEX(Tracker!I$31:I$174,1,1))+1),IF(D8=D7,IF(D8=D6,3,2),1)))</f>
        <v>USDA Assistance for Rural Electric Cooperatives</v>
      </c>
      <c r="B8" s="42">
        <f>INDEX(Tracker!F$31:F$174,MATCH($A8,Tracker!$C$31:$C$174,0))</f>
        <v>9600</v>
      </c>
      <c r="C8" s="42" cm="1">
        <f t="array" ref="C8">INDEX(Tracker!H$31:H$174,SMALL(IF(Tracker!I$31:I$174=D8,ROW(Tracker!I$31:I$174)-ROW(INDEX(Tracker!I$31:I$174,1,1))+1),IF(D8=D7,2,1)))</f>
        <v>770</v>
      </c>
      <c r="D8" s="42">
        <f>LARGE(Tracker!I$31:I$174,ROWS($2:7))</f>
        <v>1500</v>
      </c>
      <c r="E8" t="str">
        <f>INDEX(Tracker!D$31:D$174,MATCH($A8,Tracker!$C$31:$C$174,0))</f>
        <v>Spending/
Loans</v>
      </c>
      <c r="F8" t="str">
        <f>INDEX(Tracker!E$31:E$174,MATCH($A8,Tracker!$C$31:$C$174,0))</f>
        <v>Competitive</v>
      </c>
      <c r="G8" t="s">
        <v>671</v>
      </c>
      <c r="H8" s="10" t="str" cm="1">
        <f t="array" aca="1" ref="H8" ca="1">HYPERLINK(CELL("address",INDIRECT("Tracker!C"&amp;MATCH($A8,Tracker!$C:$C,0))),"Go_to_Tracker")</f>
        <v>Go_to_Tracker</v>
      </c>
    </row>
    <row r="9" spans="1:11">
      <c r="A9" t="str" cm="1">
        <f t="array" ref="A9">INDEX(Tracker!C$31:C$174,SMALL(IF(Tracker!I$31:I$174=D9,ROW(Tracker!I$31:I$174)-ROW(INDEX(Tracker!I$31:I$174,1,1))+1),IF(D9=D8,IF(D9=D7,3,2),1)))</f>
        <v>Advanced Manufacturing Production Credit</v>
      </c>
      <c r="B9" s="42">
        <f>INDEX(Tracker!F$31:F$174,MATCH($A9,Tracker!$C$31:$C$174,0))</f>
        <v>30622</v>
      </c>
      <c r="C9" s="42" cm="1">
        <f t="array" ref="C9">INDEX(Tracker!H$31:H$174,SMALL(IF(Tracker!I$31:I$174=D9,ROW(Tracker!I$31:I$174)-ROW(INDEX(Tracker!I$31:I$174,1,1))+1),IF(D9=D8,2,1)))</f>
        <v>610</v>
      </c>
      <c r="D9" s="42">
        <f>LARGE(Tracker!I$31:I$174,ROWS($2:8))</f>
        <v>1200</v>
      </c>
      <c r="E9" t="str">
        <f>INDEX(Tracker!D$31:D$174,MATCH($A9,Tracker!$C$31:$C$174,0))</f>
        <v>Tax Credit</v>
      </c>
      <c r="F9" t="str">
        <f>INDEX(Tracker!E$31:E$174,MATCH($A9,Tracker!$C$31:$C$174,0))</f>
        <v>Entitlement</v>
      </c>
      <c r="G9" t="s">
        <v>671</v>
      </c>
      <c r="H9" s="10" t="str" cm="1">
        <f t="array" aca="1" ref="H9" ca="1">HYPERLINK(CELL("address",INDIRECT("Tracker!C"&amp;MATCH($A9,Tracker!$C:$C,0))),"Go_to_Tracker")</f>
        <v>Go_to_Tracker</v>
      </c>
    </row>
    <row r="10" spans="1:11">
      <c r="A10" t="str" cm="1">
        <f t="array" ref="A10">INDEX(Tracker!C$31:C$174,SMALL(IF(Tracker!I$31:I$174=D10,ROW(Tracker!I$31:I$174)-ROW(INDEX(Tracker!I$31:I$174,1,1))+1),IF(D10=D9,IF(D10=D8,3,2),1)))</f>
        <v>Tribal Energy Loan Guarantee Program</v>
      </c>
      <c r="B10" s="42">
        <f>INDEX(Tracker!F$31:F$174,MATCH($A10,Tracker!$C$31:$C$174,0))</f>
        <v>20000</v>
      </c>
      <c r="C10" s="42" cm="1">
        <f t="array" ref="C10">INDEX(Tracker!H$31:H$174,SMALL(IF(Tracker!I$31:I$174=D10,ROW(Tracker!I$31:I$174)-ROW(INDEX(Tracker!I$31:I$174,1,1))+1),IF(D10=D9,2,1)))</f>
        <v>0</v>
      </c>
      <c r="D10" s="42">
        <f>LARGE(Tracker!I$31:I$174,ROWS($2:9))</f>
        <v>950</v>
      </c>
      <c r="E10" t="str">
        <f>INDEX(Tracker!D$31:D$174,MATCH($A10,Tracker!$C$31:$C$174,0))</f>
        <v>Loans</v>
      </c>
      <c r="F10" t="str">
        <f>INDEX(Tracker!E$31:E$174,MATCH($A10,Tracker!$C$31:$C$174,0))</f>
        <v>Competitive</v>
      </c>
      <c r="G10" t="s">
        <v>671</v>
      </c>
      <c r="H10" s="10" t="str" cm="1">
        <f t="array" aca="1" ref="H10" ca="1">HYPERLINK(CELL("address",INDIRECT("Tracker!C"&amp;MATCH($A10,Tracker!$C:$C,0))),"Go_to_Tracker")</f>
        <v>Go_to_Tracker</v>
      </c>
    </row>
    <row r="11" spans="1:11">
      <c r="A11" t="str" cm="1">
        <f t="array" ref="A11">INDEX(Tracker!C$31:C$174,SMALL(IF(Tracker!I$31:I$174=D11,ROW(Tracker!I$31:I$174)-ROW(INDEX(Tracker!I$31:I$174,1,1))+1),IF(D11=D10,IF(D11=D9,3,2),1)))</f>
        <v>Residential Clean Energy Credit</v>
      </c>
      <c r="B11" s="42">
        <f>INDEX(Tracker!F$31:F$174,MATCH($A11,Tracker!$C$31:$C$174,0))</f>
        <v>22022</v>
      </c>
      <c r="C11" s="42" cm="1">
        <f t="array" ref="C11">INDEX(Tracker!H$31:H$174,SMALL(IF(Tracker!I$31:I$174=D11,ROW(Tracker!I$31:I$174)-ROW(INDEX(Tracker!I$31:I$174,1,1))+1),IF(D11=D10,2,1)))</f>
        <v>440</v>
      </c>
      <c r="D11" s="42">
        <f>LARGE(Tracker!I$31:I$174,ROWS($2:10))</f>
        <v>880</v>
      </c>
      <c r="E11" t="str">
        <f>INDEX(Tracker!D$31:D$174,MATCH($A11,Tracker!$C$31:$C$174,0))</f>
        <v>Tax Credit</v>
      </c>
      <c r="F11" t="str">
        <f>INDEX(Tracker!E$31:E$174,MATCH($A11,Tracker!$C$31:$C$174,0))</f>
        <v>Entitlement</v>
      </c>
      <c r="G11" t="s">
        <v>671</v>
      </c>
      <c r="H11" s="10" t="str" cm="1">
        <f t="array" aca="1" ref="H11" ca="1">HYPERLINK(CELL("address",INDIRECT("Tracker!C"&amp;MATCH($A11,Tracker!$C:$C,0))),"Go_to_Tracker")</f>
        <v>Go_to_Tracker</v>
      </c>
    </row>
    <row r="12" spans="1:11">
      <c r="A12" t="str" cm="1">
        <f t="array" ref="A12">INDEX(Tracker!C$31:C$174,SMALL(IF(Tracker!I$31:I$174=D12,ROW(Tracker!I$31:I$174)-ROW(INDEX(Tracker!I$31:I$174,1,1))+1),IF(D12=D11,IF(D12=D10,3,2),1)))</f>
        <v>Greenhouse Gas Reduction Fund</v>
      </c>
      <c r="B12" s="42">
        <f>INDEX(Tracker!F$31:F$174,MATCH($A12,Tracker!$C$31:$C$174,0))</f>
        <v>19980</v>
      </c>
      <c r="C12" s="42" cm="1">
        <f t="array" ref="C12">INDEX(Tracker!H$31:H$174,SMALL(IF(Tracker!I$31:I$174=D12,ROW(Tracker!I$31:I$174)-ROW(INDEX(Tracker!I$31:I$174,1,1))+1),IF(D12=D11,2,1)))</f>
        <v>280</v>
      </c>
      <c r="D12" s="42">
        <f>LARGE(Tracker!I$31:I$174,ROWS($2:11))</f>
        <v>800</v>
      </c>
      <c r="E12" t="str">
        <f>INDEX(Tracker!D$31:D$174,MATCH($A12,Tracker!$C$31:$C$174,0))</f>
        <v>Spending</v>
      </c>
      <c r="F12" t="str">
        <f>INDEX(Tracker!E$31:E$174,MATCH($A12,Tracker!$C$31:$C$174,0))</f>
        <v>Competitive</v>
      </c>
      <c r="G12" t="s">
        <v>686</v>
      </c>
      <c r="H12" s="10" t="str" cm="1">
        <f t="array" aca="1" ref="H12" ca="1">HYPERLINK(CELL("address",INDIRECT("Tracker!C"&amp;MATCH($A12,Tracker!$C:$C,0))),"Go_to_Tracker")</f>
        <v>Go_to_Tracker</v>
      </c>
    </row>
    <row r="13" spans="1:11">
      <c r="A13" t="str" cm="1">
        <f t="array" ref="A13">INDEX(Tracker!C$31:C$174,SMALL(IF(Tracker!I$31:I$174=D13,ROW(Tracker!I$31:I$174)-ROW(INDEX(Tracker!I$31:I$174,1,1))+1),IF(D13=D12,IF(D13=D11,3,2),1)))</f>
        <v>Extension and Modification of Energy Credit</v>
      </c>
      <c r="B13" s="42">
        <f>INDEX(Tracker!F$31:F$174,MATCH($A13,Tracker!$C$31:$C$174,0))</f>
        <v>13962</v>
      </c>
      <c r="C13" s="42" cm="1">
        <f t="array" ref="C13">INDEX(Tracker!H$31:H$174,SMALL(IF(Tracker!I$31:I$174=D13,ROW(Tracker!I$31:I$174)-ROW(INDEX(Tracker!I$31:I$174,1,1))+1),IF(D13=D12,2,1)))</f>
        <v>150</v>
      </c>
      <c r="D13" s="42">
        <f>LARGE(Tracker!I$31:I$174,ROWS($2:12))</f>
        <v>500</v>
      </c>
      <c r="E13" t="str">
        <f>INDEX(Tracker!D$31:D$174,MATCH($A13,Tracker!$C$31:$C$174,0))</f>
        <v>Tax Credit</v>
      </c>
      <c r="F13" t="str">
        <f>INDEX(Tracker!E$31:E$174,MATCH($A13,Tracker!$C$31:$C$174,0))</f>
        <v>Entitlement</v>
      </c>
      <c r="G13" t="s">
        <v>671</v>
      </c>
      <c r="H13" s="10" t="str" cm="1">
        <f t="array" aca="1" ref="H13" ca="1">HYPERLINK(CELL("address",INDIRECT("Tracker!C"&amp;MATCH($A13,Tracker!$C:$C,0))),"Go_to_Tracker")</f>
        <v>Go_to_Tracker</v>
      </c>
    </row>
    <row r="14" spans="1:11">
      <c r="A14" t="str" cm="1">
        <f t="array" ref="A14">INDEX(Tracker!C$31:C$174,SMALL(IF(Tracker!I$31:I$174=D14,ROW(Tracker!I$31:I$174)-ROW(INDEX(Tracker!I$31:I$174,1,1))+1),IF(D14=D13,IF(D14=D12,3,2),1)))</f>
        <v>Extension, Increase, and Modifications of Nonbusiness Energy Property Credit</v>
      </c>
      <c r="B14" s="42">
        <f>INDEX(Tracker!F$31:F$174,MATCH($A14,Tracker!$C$31:$C$174,0))</f>
        <v>12451</v>
      </c>
      <c r="C14" s="42" cm="1">
        <f t="array" ref="C14">INDEX(Tracker!H$31:H$174,SMALL(IF(Tracker!I$31:I$174=D14,ROW(Tracker!I$31:I$174)-ROW(INDEX(Tracker!I$31:I$174,1,1))+1),IF(D14=D13,2,1)))</f>
        <v>250</v>
      </c>
      <c r="D14" s="42">
        <f>LARGE(Tracker!I$31:I$174,ROWS($2:13))</f>
        <v>500</v>
      </c>
      <c r="E14" t="str">
        <f>INDEX(Tracker!D$31:D$174,MATCH($A14,Tracker!$C$31:$C$174,0))</f>
        <v>Tax Credit</v>
      </c>
      <c r="F14" t="str">
        <f>INDEX(Tracker!E$31:E$174,MATCH($A14,Tracker!$C$31:$C$174,0))</f>
        <v>Entitlement</v>
      </c>
      <c r="G14" t="s">
        <v>671</v>
      </c>
      <c r="H14" s="10" t="str" cm="1">
        <f t="array" aca="1" ref="H14" ca="1">HYPERLINK(CELL("address",INDIRECT("Tracker!C"&amp;MATCH($A14,Tracker!$C:$C,0))),"Go_to_Tracker")</f>
        <v>Go_to_Tracker</v>
      </c>
    </row>
    <row r="15" spans="1:11">
      <c r="A15" t="str" cm="1">
        <f t="array" ref="A15">INDEX(Tracker!C$31:C$174,SMALL(IF(Tracker!I$31:I$174=D15,ROW(Tracker!I$31:I$174)-ROW(INDEX(Tracker!I$31:I$174,1,1))+1),IF(D15=D14,IF(D15=D13,3,2),1)))</f>
        <v>Additional Agricultural Conservation Investments</v>
      </c>
      <c r="B15" s="42">
        <f>INDEX(Tracker!F$31:F$174,MATCH($A15,Tracker!$C$31:$C$174,0))</f>
        <v>15314</v>
      </c>
      <c r="C15" s="42" cm="1">
        <f t="array" ref="C15">INDEX(Tracker!H$31:H$174,SMALL(IF(Tracker!I$31:I$174=D15,ROW(Tracker!I$31:I$174)-ROW(INDEX(Tracker!I$31:I$174,1,1))+1),IF(D15=D14,2,1)))</f>
        <v>150</v>
      </c>
      <c r="D15" s="42">
        <f>LARGE(Tracker!I$31:I$174,ROWS($2:14))</f>
        <v>460</v>
      </c>
      <c r="E15" t="str">
        <f>INDEX(Tracker!D$31:D$174,MATCH($A15,Tracker!$C$31:$C$174,0))</f>
        <v>Spending</v>
      </c>
      <c r="F15" t="str">
        <f>INDEX(Tracker!E$31:E$174,MATCH($A15,Tracker!$C$31:$C$174,0))</f>
        <v>Formula</v>
      </c>
      <c r="G15" t="s">
        <v>677</v>
      </c>
      <c r="H15" s="10" t="str" cm="1">
        <f t="array" aca="1" ref="H15" ca="1">HYPERLINK(CELL("address",INDIRECT("Tracker!C"&amp;MATCH($A15,Tracker!$C:$C,0))),"Go_to_Tracker")</f>
        <v>Go_to_Tracker</v>
      </c>
    </row>
    <row r="16" spans="1:11">
      <c r="A16" t="str" cm="1">
        <f t="array" ref="A16">INDEX(Tracker!C$31:C$174,SMALL(IF(Tracker!I$31:I$174=D16,ROW(Tracker!I$31:I$174)-ROW(INDEX(Tracker!I$31:I$174,1,1))+1),IF(D16=D15,IF(D16=D14,3,2),1)))</f>
        <v>Clean Electricity Production Credit</v>
      </c>
      <c r="B16" s="42">
        <f>INDEX(Tracker!F$31:F$174,MATCH($A16,Tracker!$C$31:$C$174,0))</f>
        <v>11204</v>
      </c>
      <c r="C16" s="42" cm="1">
        <f t="array" ref="C16">INDEX(Tracker!H$31:H$174,SMALL(IF(Tracker!I$31:I$174=D16,ROW(Tracker!I$31:I$174)-ROW(INDEX(Tracker!I$31:I$174,1,1))+1),IF(D16=D15,2,1)))</f>
        <v>120</v>
      </c>
      <c r="D16" s="42">
        <f>LARGE(Tracker!I$31:I$174,ROWS($2:15))</f>
        <v>400</v>
      </c>
      <c r="E16" t="str">
        <f>INDEX(Tracker!D$31:D$174,MATCH($A16,Tracker!$C$31:$C$174,0))</f>
        <v>Tax Credit</v>
      </c>
      <c r="F16" t="str">
        <f>INDEX(Tracker!E$31:E$174,MATCH($A16,Tracker!$C$31:$C$174,0))</f>
        <v>Entitlement</v>
      </c>
      <c r="G16" t="s">
        <v>671</v>
      </c>
      <c r="H16" s="10" t="str" cm="1">
        <f t="array" aca="1" ref="H16" ca="1">HYPERLINK(CELL("address",INDIRECT("Tracker!C"&amp;MATCH($A16,Tracker!$C:$C,0))),"Go_to_Tracker")</f>
        <v>Go_to_Tracker</v>
      </c>
    </row>
    <row r="17" spans="1:8">
      <c r="A17" t="str" cm="1">
        <f t="array" ref="A17">INDEX(Tracker!C$31:C$174,SMALL(IF(Tracker!I$31:I$174=D17,ROW(Tracker!I$31:I$174)-ROW(INDEX(Tracker!I$31:I$174,1,1))+1),IF(D17=D16,IF(D17=D15,3,2),1)))</f>
        <v>Clean Hydrogen</v>
      </c>
      <c r="B17" s="42">
        <f>INDEX(Tracker!F$31:F$174,MATCH($A17,Tracker!$C$31:$C$174,0))</f>
        <v>13166</v>
      </c>
      <c r="C17" s="42" cm="1">
        <f t="array" ref="C17">INDEX(Tracker!H$31:H$174,SMALL(IF(Tracker!I$31:I$174=D17,ROW(Tracker!I$31:I$174)-ROW(INDEX(Tracker!I$31:I$174,1,1))+1),IF(D17=D16,2,1)))</f>
        <v>130</v>
      </c>
      <c r="D17" s="42">
        <f>LARGE(Tracker!I$31:I$174,ROWS($2:16))</f>
        <v>390</v>
      </c>
      <c r="E17" t="str">
        <f>INDEX(Tracker!D$31:D$174,MATCH($A17,Tracker!$C$31:$C$174,0))</f>
        <v>Tax Credit</v>
      </c>
      <c r="F17" t="str">
        <f>INDEX(Tracker!E$31:E$174,MATCH($A17,Tracker!$C$31:$C$174,0))</f>
        <v>Entitlement</v>
      </c>
      <c r="G17" t="s">
        <v>671</v>
      </c>
      <c r="H17" s="10" t="str" cm="1">
        <f t="array" aca="1" ref="H17" ca="1">HYPERLINK(CELL("address",INDIRECT("Tracker!C"&amp;MATCH($A17,Tracker!$C:$C,0))),"Go_to_Tracker")</f>
        <v>Go_to_Tracker</v>
      </c>
    </row>
    <row r="18" spans="1:8">
      <c r="A18" t="str" cm="1">
        <f t="array" ref="A18">INDEX(Tracker!C$31:C$174,SMALL(IF(Tracker!I$31:I$174=D18,ROW(Tracker!I$31:I$174)-ROW(INDEX(Tracker!I$31:I$174,1,1))+1),IF(D18=D17,IF(D18=D16,3,2),1)))</f>
        <v>Rural Energy for America Program</v>
      </c>
      <c r="B18" s="42">
        <f>INDEX(Tracker!F$31:F$174,MATCH($A18,Tracker!$C$31:$C$174,0))</f>
        <v>1977</v>
      </c>
      <c r="C18" s="42" cm="1">
        <f t="array" ref="C18">INDEX(Tracker!H$31:H$174,SMALL(IF(Tracker!I$31:I$174=D18,ROW(Tracker!I$31:I$174)-ROW(INDEX(Tracker!I$31:I$174,1,1))+1),IF(D18=D17,2,1)))</f>
        <v>160</v>
      </c>
      <c r="D18" s="42">
        <f>LARGE(Tracker!I$31:I$174,ROWS($2:17))</f>
        <v>320</v>
      </c>
      <c r="E18" t="str">
        <f>INDEX(Tracker!D$31:D$174,MATCH($A18,Tracker!$C$31:$C$174,0))</f>
        <v>Spending/
Loans</v>
      </c>
      <c r="F18" t="str">
        <f>INDEX(Tracker!E$31:E$174,MATCH($A18,Tracker!$C$31:$C$174,0))</f>
        <v>Competitive</v>
      </c>
      <c r="G18" t="s">
        <v>671</v>
      </c>
      <c r="H18" s="10" t="str" cm="1">
        <f t="array" aca="1" ref="H18" ca="1">HYPERLINK(CELL("address",INDIRECT("Tracker!C"&amp;MATCH($A18,Tracker!$C:$C,0))),"Go_to_Tracker")</f>
        <v>Go_to_Tracker</v>
      </c>
    </row>
    <row r="19" spans="1:8">
      <c r="A19" t="str" cm="1">
        <f t="array" ref="A19">INDEX(Tracker!C$31:C$174,SMALL(IF(Tracker!I$31:I$174=D19,ROW(Tracker!I$31:I$174)-ROW(INDEX(Tracker!I$31:I$174,1,1))+1),IF(D19=D18,IF(D19=D17,3,2),1)))</f>
        <v>Clean Vehicle Credit</v>
      </c>
      <c r="B19" s="42">
        <f>INDEX(Tracker!F$31:F$174,MATCH($A19,Tracker!$C$31:$C$174,0))</f>
        <v>7541</v>
      </c>
      <c r="C19" s="42" cm="1">
        <f t="array" ref="C19">INDEX(Tracker!H$31:H$174,SMALL(IF(Tracker!I$31:I$174=D19,ROW(Tracker!I$31:I$174)-ROW(INDEX(Tracker!I$31:I$174,1,1))+1),IF(D19=D18,2,1)))</f>
        <v>150</v>
      </c>
      <c r="D19" s="42">
        <f>LARGE(Tracker!I$31:I$174,ROWS($2:18))</f>
        <v>300</v>
      </c>
      <c r="E19" t="str">
        <f>INDEX(Tracker!D$31:D$174,MATCH($A19,Tracker!$C$31:$C$174,0))</f>
        <v>Tax Credit</v>
      </c>
      <c r="F19" t="str">
        <f>INDEX(Tracker!E$31:E$174,MATCH($A19,Tracker!$C$31:$C$174,0))</f>
        <v>Entitlement</v>
      </c>
      <c r="G19" t="s">
        <v>687</v>
      </c>
      <c r="H19" s="10" t="str" cm="1">
        <f t="array" aca="1" ref="H19" ca="1">HYPERLINK(CELL("address",INDIRECT("Tracker!C"&amp;MATCH($A19,Tracker!$C:$C,0))),"Go_to_Tracker")</f>
        <v>Go_to_Tracker</v>
      </c>
    </row>
    <row r="20" spans="1:8">
      <c r="A20" t="str" cm="1">
        <f t="array" ref="A20">INDEX(Tracker!C$31:C$174,SMALL(IF(Tracker!I$31:I$174=D20,ROW(Tracker!I$31:I$174)-ROW(INDEX(Tracker!I$31:I$174,1,1))+1),IF(D20=D19,IF(D20=D18,3,2),1)))</f>
        <v>Neighborhood Access and Equity Grant Program</v>
      </c>
      <c r="B20" s="42">
        <f>INDEX(Tracker!F$31:F$174,MATCH($A20,Tracker!$C$31:$C$174,0))</f>
        <v>2900</v>
      </c>
      <c r="C20" s="42" cm="1">
        <f t="array" ref="C20">INDEX(Tracker!H$31:H$174,SMALL(IF(Tracker!I$31:I$174=D20,ROW(Tracker!I$31:I$174)-ROW(INDEX(Tracker!I$31:I$174,1,1))+1),IF(D20=D19,2,1)))</f>
        <v>14</v>
      </c>
      <c r="D20" s="42">
        <f>LARGE(Tracker!I$31:I$174,ROWS($2:19))</f>
        <v>280</v>
      </c>
      <c r="E20" t="str">
        <f>INDEX(Tracker!D$31:D$174,MATCH($A20,Tracker!$C$31:$C$174,0))</f>
        <v>Spending</v>
      </c>
      <c r="F20" t="str">
        <f>INDEX(Tracker!E$31:E$174,MATCH($A20,Tracker!$C$31:$C$174,0))</f>
        <v>Competitive</v>
      </c>
      <c r="G20" t="s">
        <v>688</v>
      </c>
      <c r="H20" s="10" t="str" cm="1">
        <f t="array" aca="1" ref="H20" ca="1">HYPERLINK(CELL("address",INDIRECT("Tracker!C"&amp;MATCH($A20,Tracker!$C:$C,0))),"Go_to_Tracker")</f>
        <v>Go_to_Tracker</v>
      </c>
    </row>
    <row r="21" spans="1:8">
      <c r="A21" t="str" cm="1">
        <f t="array" ref="A21">INDEX(Tracker!C$31:C$174,SMALL(IF(Tracker!I$31:I$174=D21,ROW(Tracker!I$31:I$174)-ROW(INDEX(Tracker!I$31:I$174,1,1))+1),IF(D21=D20,IF(D21=D19,3,2),1)))</f>
        <v>Extension of the Advanced Energy Project Credit</v>
      </c>
      <c r="B21" s="42">
        <f>INDEX(Tracker!F$31:F$174,MATCH($A21,Tracker!$C$31:$C$174,0))</f>
        <v>6255</v>
      </c>
      <c r="C21" s="42" cm="1">
        <f t="array" ref="C21">INDEX(Tracker!H$31:H$174,SMALL(IF(Tracker!I$31:I$174=D21,ROW(Tracker!I$31:I$174)-ROW(INDEX(Tracker!I$31:I$174,1,1))+1),IF(D21=D20,2,1)))</f>
        <v>130</v>
      </c>
      <c r="D21" s="42">
        <f>LARGE(Tracker!I$31:I$174,ROWS($2:20))</f>
        <v>250</v>
      </c>
      <c r="E21" t="str">
        <f>INDEX(Tracker!D$31:D$174,MATCH($A21,Tracker!$C$31:$C$174,0))</f>
        <v>Tax Credit</v>
      </c>
      <c r="F21" t="str">
        <f>INDEX(Tracker!E$31:E$174,MATCH($A21,Tracker!$C$31:$C$174,0))</f>
        <v>Competitive</v>
      </c>
      <c r="G21" t="s">
        <v>675</v>
      </c>
      <c r="H21" s="10" t="str" cm="1">
        <f t="array" aca="1" ref="H21" ca="1">HYPERLINK(CELL("address",INDIRECT("Tracker!C"&amp;MATCH($A21,Tracker!$C:$C,0))),"Go_to_Tracker")</f>
        <v>Go_to_Tracker</v>
      </c>
    </row>
    <row r="22" spans="1:8">
      <c r="A22" t="str" cm="1">
        <f t="array" ref="A22">INDEX(Tracker!C$31:C$174,SMALL(IF(Tracker!I$31:I$174=D22,ROW(Tracker!I$31:I$174)-ROW(INDEX(Tracker!I$31:I$174,1,1))+1),IF(D22=D21,IF(D22=D20,3,2),1)))</f>
        <v>Advanced Industrial Facilities Deployment Program</v>
      </c>
      <c r="B22" s="42">
        <f>INDEX(Tracker!F$31:F$174,MATCH($A22,Tracker!$C$31:$C$174,0))</f>
        <v>5250</v>
      </c>
      <c r="C22" s="42" cm="1">
        <f t="array" ref="C22">INDEX(Tracker!H$31:H$174,SMALL(IF(Tracker!I$31:I$174=D22,ROW(Tracker!I$31:I$174)-ROW(INDEX(Tracker!I$31:I$174,1,1))+1),IF(D22=D21,2,1)))</f>
        <v>75</v>
      </c>
      <c r="D22" s="42">
        <f>LARGE(Tracker!I$31:I$174,ROWS($2:21))</f>
        <v>200</v>
      </c>
      <c r="E22" t="str">
        <f>INDEX(Tracker!D$31:D$174,MATCH($A22,Tracker!$C$31:$C$174,0))</f>
        <v>Spending</v>
      </c>
      <c r="F22" t="str">
        <f>INDEX(Tracker!E$31:E$174,MATCH($A22,Tracker!$C$31:$C$174,0))</f>
        <v>Competitive</v>
      </c>
      <c r="G22" t="s">
        <v>675</v>
      </c>
      <c r="H22" s="10" t="str" cm="1">
        <f t="array" aca="1" ref="H22" ca="1">HYPERLINK(CELL("address",INDIRECT("Tracker!C"&amp;MATCH($A22,Tracker!$C:$C,0))),"Go_to_Tracker")</f>
        <v>Go_to_Tracker</v>
      </c>
    </row>
    <row r="23" spans="1:8">
      <c r="A23" t="str" cm="1">
        <f t="array" ref="A23">INDEX(Tracker!C$31:C$174,SMALL(IF(Tracker!I$31:I$174=D23,ROW(Tracker!I$31:I$174)-ROW(INDEX(Tracker!I$31:I$174,1,1))+1),IF(D23=D22,IF(D23=D21,3,2),1)))</f>
        <v>Use of Low-Carbon Materials</v>
      </c>
      <c r="B23" s="42">
        <f>INDEX(Tracker!F$31:F$174,MATCH($A23,Tracker!$C$31:$C$174,0))</f>
        <v>2150</v>
      </c>
      <c r="C23" s="42" cm="1">
        <f t="array" ref="C23">INDEX(Tracker!H$31:H$174,SMALL(IF(Tracker!I$31:I$174=D23,ROW(Tracker!I$31:I$174)-ROW(INDEX(Tracker!I$31:I$174,1,1))+1),IF(D23=D22,2,1)))</f>
        <v>10</v>
      </c>
      <c r="D23" s="42">
        <f>LARGE(Tracker!I$31:I$174,ROWS($2:22))</f>
        <v>200</v>
      </c>
      <c r="E23" t="str">
        <f>INDEX(Tracker!D$31:D$174,MATCH($A23,Tracker!$C$31:$C$174,0))</f>
        <v>Spending</v>
      </c>
      <c r="F23" t="str">
        <f>INDEX(Tracker!E$31:E$174,MATCH($A23,Tracker!$C$31:$C$174,0))</f>
        <v>N/A</v>
      </c>
      <c r="G23" t="s">
        <v>675</v>
      </c>
      <c r="H23" s="10" t="str" cm="1">
        <f t="array" aca="1" ref="H23" ca="1">HYPERLINK(CELL("address",INDIRECT("Tracker!C"&amp;MATCH($A23,Tracker!$C:$C,0))),"Go_to_Tracker")</f>
        <v>Go_to_Tracker</v>
      </c>
    </row>
    <row r="24" spans="1:8">
      <c r="A24" t="str" cm="1">
        <f t="array" ref="A24">INDEX(Tracker!C$31:C$174,SMALL(IF(Tracker!I$31:I$174=D24,ROW(Tracker!I$31:I$174)-ROW(INDEX(Tracker!I$31:I$174,1,1))+1),IF(D24=D23,IF(D24=D22,3,2),1)))</f>
        <v>Extension of incentives for biodiesel, renewable diesel, and alternative fuels</v>
      </c>
      <c r="B24" s="42">
        <f>INDEX(Tracker!F$31:F$174,MATCH($A24,Tracker!$C$31:$C$174,0))</f>
        <v>5571</v>
      </c>
      <c r="C24" s="42" cm="1">
        <f t="array" ref="C24">INDEX(Tracker!H$31:H$174,SMALL(IF(Tracker!I$31:I$174=D24,ROW(Tracker!I$31:I$174)-ROW(INDEX(Tracker!I$31:I$174,1,1))+1),IF(D24=D23,2,1)))</f>
        <v>60</v>
      </c>
      <c r="D24" s="42">
        <f>LARGE(Tracker!I$31:I$174,ROWS($2:23))</f>
        <v>170</v>
      </c>
      <c r="E24" t="str">
        <f>INDEX(Tracker!D$31:D$174,MATCH($A24,Tracker!$C$31:$C$174,0))</f>
        <v>Tax Credit</v>
      </c>
      <c r="F24" t="str">
        <f>INDEX(Tracker!E$31:E$174,MATCH($A24,Tracker!$C$31:$C$174,0))</f>
        <v>Entitlement</v>
      </c>
      <c r="G24" t="s">
        <v>671</v>
      </c>
      <c r="H24" s="10" t="str" cm="1">
        <f t="array" aca="1" ref="H24" ca="1">HYPERLINK(CELL("address",INDIRECT("Tracker!C"&amp;MATCH($A24,Tracker!$C:$C,0))),"Go_to_Tracker")</f>
        <v>Go_to_Tracker</v>
      </c>
    </row>
    <row r="25" spans="1:8">
      <c r="A25" t="str" cm="1">
        <f t="array" ref="A25">INDEX(Tracker!C$31:C$174,SMALL(IF(Tracker!I$31:I$174=D25,ROW(Tracker!I$31:I$174)-ROW(INDEX(Tracker!I$31:I$174,1,1))+1),IF(D25=D24,IF(D25=D23,3,2),1)))</f>
        <v>Climate Pollution Reduction Grants</v>
      </c>
      <c r="B25" s="42">
        <f>INDEX(Tracker!F$31:F$174,MATCH($A25,Tracker!$C$31:$C$174,0))</f>
        <v>4050</v>
      </c>
      <c r="C25" s="42" cm="1">
        <f t="array" ref="C25">INDEX(Tracker!H$31:H$174,SMALL(IF(Tracker!I$31:I$174=D25,ROW(Tracker!I$31:I$174)-ROW(INDEX(Tracker!I$31:I$174,1,1))+1),IF(D25=D24,2,1)))</f>
        <v>81</v>
      </c>
      <c r="D25" s="42">
        <f>LARGE(Tracker!I$31:I$174,ROWS($2:24))</f>
        <v>162</v>
      </c>
      <c r="E25" t="str">
        <f>INDEX(Tracker!D$31:D$174,MATCH($A25,Tracker!$C$31:$C$174,0))</f>
        <v>Spending</v>
      </c>
      <c r="F25" t="str">
        <f>INDEX(Tracker!E$31:E$174,MATCH($A25,Tracker!$C$31:$C$174,0))</f>
        <v>Formula/
Competitive</v>
      </c>
      <c r="G25" t="s">
        <v>686</v>
      </c>
      <c r="H25" s="10" t="str" cm="1">
        <f t="array" aca="1" ref="H25" ca="1">HYPERLINK(CELL("address",INDIRECT("Tracker!C"&amp;MATCH($A25,Tracker!$C:$C,0))),"Go_to_Tracker")</f>
        <v>Go_to_Tracker</v>
      </c>
    </row>
    <row r="26" spans="1:8">
      <c r="A26" t="str" cm="1">
        <f t="array" ref="A26">INDEX(Tracker!C$31:C$174,SMALL(IF(Tracker!I$31:I$174=D26,ROW(Tracker!I$31:I$174)-ROW(INDEX(Tracker!I$31:I$174,1,1))+1),IF(D26=D25,IF(D26=D24,3,2),1)))</f>
        <v>Reinstatement of Superfund</v>
      </c>
      <c r="B26" s="42">
        <f>INDEX(Tracker!F$31:F$174,MATCH($A26,Tracker!$C$31:$C$174,0))</f>
        <v>10516</v>
      </c>
      <c r="C26" s="42" cm="1">
        <f t="array" ref="C26">INDEX(Tracker!H$31:H$174,SMALL(IF(Tracker!I$31:I$174=D26,ROW(Tracker!I$31:I$174)-ROW(INDEX(Tracker!I$31:I$174,1,1))+1),IF(D26=D25,2,1)))</f>
        <v>50</v>
      </c>
      <c r="D26" s="42">
        <f>LARGE(Tracker!I$31:I$174,ROWS($2:25))</f>
        <v>160</v>
      </c>
      <c r="E26" t="str">
        <f>INDEX(Tracker!D$31:D$174,MATCH($A26,Tracker!$C$31:$C$174,0))</f>
        <v>Tax Revenue/
Spending</v>
      </c>
      <c r="F26" t="str">
        <f>INDEX(Tracker!E$31:E$174,MATCH($A26,Tracker!$C$31:$C$174,0))</f>
        <v>N/A</v>
      </c>
      <c r="G26" t="s">
        <v>689</v>
      </c>
      <c r="H26" s="10" t="str" cm="1">
        <f t="array" aca="1" ref="H26" ca="1">HYPERLINK(CELL("address",INDIRECT("Tracker!C"&amp;MATCH($A26,Tracker!$C:$C,0))),"Go_to_Tracker")</f>
        <v>Go_to_Tracker</v>
      </c>
    </row>
    <row r="27" spans="1:8">
      <c r="A27" t="str" cm="1">
        <f t="array" ref="A27">INDEX(Tracker!C$31:C$174,SMALL(IF(Tracker!I$31:I$174=D27,ROW(Tracker!I$31:I$174)-ROW(INDEX(Tracker!I$31:I$174,1,1))+1),IF(D27=D26,IF(D27=D25,3,2),1)))</f>
        <v>Additional Funding for Electric Loans for Renewable Energy</v>
      </c>
      <c r="B27" s="42">
        <f>INDEX(Tracker!F$31:F$174,MATCH($A27,Tracker!$C$31:$C$174,0))</f>
        <v>1000</v>
      </c>
      <c r="C27" s="42" cm="1">
        <f t="array" ref="C27">INDEX(Tracker!H$31:H$174,SMALL(IF(Tracker!I$31:I$174=D27,ROW(Tracker!I$31:I$174)-ROW(INDEX(Tracker!I$31:I$174,1,1))+1),IF(D27=D26,2,1)))</f>
        <v>80</v>
      </c>
      <c r="D27" s="42">
        <f>LARGE(Tracker!I$31:I$174,ROWS($2:26))</f>
        <v>160</v>
      </c>
      <c r="E27" t="str">
        <f>INDEX(Tracker!D$31:D$174,MATCH($A27,Tracker!$C$31:$C$174,0))</f>
        <v>Spending/
Loans</v>
      </c>
      <c r="F27" t="str">
        <f>INDEX(Tracker!E$31:E$174,MATCH($A27,Tracker!$C$31:$C$174,0))</f>
        <v>Competitive</v>
      </c>
      <c r="G27" t="s">
        <v>671</v>
      </c>
      <c r="H27" s="10" t="str" cm="1">
        <f t="array" aca="1" ref="H27" ca="1">HYPERLINK(CELL("address",INDIRECT("Tracker!C"&amp;MATCH($A27,Tracker!$C:$C,0))),"Go_to_Tracker")</f>
        <v>Go_to_Tracker</v>
      </c>
    </row>
    <row r="28" spans="1:8">
      <c r="A28" t="str" cm="1">
        <f t="array" ref="A28">INDEX(Tracker!C$31:C$174,SMALL(IF(Tracker!I$31:I$174=D28,ROW(Tracker!I$31:I$174)-ROW(INDEX(Tracker!I$31:I$174,1,1))+1),IF(D28=D27,IF(D28=D26,3,2),1)))</f>
        <v>Low-Carbon Transportation Materials Grants</v>
      </c>
      <c r="B28" s="42">
        <f>INDEX(Tracker!F$31:F$174,MATCH($A28,Tracker!$C$31:$C$174,0))</f>
        <v>1700</v>
      </c>
      <c r="C28" s="42" cm="1">
        <f t="array" ref="C28">INDEX(Tracker!H$31:H$174,SMALL(IF(Tracker!I$31:I$174=D28,ROW(Tracker!I$31:I$174)-ROW(INDEX(Tracker!I$31:I$174,1,1))+1),IF(D28=D27,2,1)))</f>
        <v>80</v>
      </c>
      <c r="D28" s="42">
        <f>LARGE(Tracker!I$31:I$174,ROWS($2:27))</f>
        <v>160</v>
      </c>
      <c r="E28" t="str">
        <f>INDEX(Tracker!D$31:D$174,MATCH($A28,Tracker!$C$31:$C$174,0))</f>
        <v>Spending</v>
      </c>
      <c r="F28" t="str">
        <f>INDEX(Tracker!E$31:E$174,MATCH($A28,Tracker!$C$31:$C$174,0))</f>
        <v>Competitive</v>
      </c>
      <c r="G28" t="s">
        <v>687</v>
      </c>
      <c r="H28" s="10" t="str" cm="1">
        <f t="array" aca="1" ref="H28" ca="1">HYPERLINK(CELL("address",INDIRECT("Tracker!C"&amp;MATCH($A28,Tracker!$C:$C,0))),"Go_to_Tracker")</f>
        <v>Go_to_Tracker</v>
      </c>
    </row>
    <row r="29" spans="1:8">
      <c r="A29" t="str" cm="1">
        <f t="array" ref="A29">INDEX(Tracker!C$31:C$174,SMALL(IF(Tracker!I$31:I$174=D29,ROW(Tracker!I$31:I$174)-ROW(INDEX(Tracker!I$31:I$174,1,1))+1),IF(D29=D28,IF(D29=D27,3,2),1)))</f>
        <v>Qualified Commercial Clean Vehicles</v>
      </c>
      <c r="B29" s="42">
        <f>INDEX(Tracker!F$31:F$174,MATCH($A29,Tracker!$C$31:$C$174,0))</f>
        <v>3583</v>
      </c>
      <c r="C29" s="42" cm="1">
        <f t="array" ref="C29">INDEX(Tracker!H$31:H$174,SMALL(IF(Tracker!I$31:I$174=D29,ROW(Tracker!I$31:I$174)-ROW(INDEX(Tracker!I$31:I$174,1,1))+1),IF(D29=D28,2,1)))</f>
        <v>70</v>
      </c>
      <c r="D29" s="42">
        <f>LARGE(Tracker!I$31:I$174,ROWS($2:28))</f>
        <v>140</v>
      </c>
      <c r="E29" t="str">
        <f>INDEX(Tracker!D$31:D$174,MATCH($A29,Tracker!$C$31:$C$174,0))</f>
        <v>Tax Credit</v>
      </c>
      <c r="F29" t="str">
        <f>INDEX(Tracker!E$31:E$174,MATCH($A29,Tracker!$C$31:$C$174,0))</f>
        <v>Entitlement</v>
      </c>
      <c r="G29" t="s">
        <v>687</v>
      </c>
      <c r="H29" s="10" t="str" cm="1">
        <f t="array" aca="1" ref="H29" ca="1">HYPERLINK(CELL("address",INDIRECT("Tracker!C"&amp;MATCH($A29,Tracker!$C:$C,0))),"Go_to_Tracker")</f>
        <v>Go_to_Tracker</v>
      </c>
    </row>
    <row r="30" spans="1:8">
      <c r="A30" t="str" cm="1">
        <f t="array" ref="A30">INDEX(Tracker!C$31:C$174,SMALL(IF(Tracker!I$31:I$174=D30,ROW(Tracker!I$31:I$174)-ROW(INDEX(Tracker!I$31:I$174,1,1))+1),IF(D30=D29,IF(D30=D28,3,2),1)))</f>
        <v>Advanced Technology Vehicle Manufacturing</v>
      </c>
      <c r="B30" s="42">
        <f>INDEX(Tracker!F$31:F$174,MATCH($A30,Tracker!$C$31:$C$174,0))</f>
        <v>3000</v>
      </c>
      <c r="C30" s="42" cm="1">
        <f t="array" ref="C30">INDEX(Tracker!H$31:H$174,SMALL(IF(Tracker!I$31:I$174=D30,ROW(Tracker!I$31:I$174)-ROW(INDEX(Tracker!I$31:I$174,1,1))+1),IF(D30=D29,2,1)))</f>
        <v>0</v>
      </c>
      <c r="D30" s="42">
        <f>LARGE(Tracker!I$31:I$174,ROWS($2:29))</f>
        <v>140</v>
      </c>
      <c r="E30" t="str">
        <f>INDEX(Tracker!D$31:D$174,MATCH($A30,Tracker!$C$31:$C$174,0))</f>
        <v>Loans</v>
      </c>
      <c r="F30" t="str">
        <f>INDEX(Tracker!E$31:E$174,MATCH($A30,Tracker!$C$31:$C$174,0))</f>
        <v>Competitive</v>
      </c>
      <c r="G30" t="s">
        <v>687</v>
      </c>
      <c r="H30" s="10" t="str" cm="1">
        <f t="array" aca="1" ref="H30" ca="1">HYPERLINK(CELL("address",INDIRECT("Tracker!C"&amp;MATCH($A30,Tracker!$C:$C,0))),"Go_to_Tracker")</f>
        <v>Go_to_Tracker</v>
      </c>
    </row>
    <row r="31" spans="1:8">
      <c r="A31" t="str" cm="1">
        <f t="array" ref="A31">INDEX(Tracker!C$31:C$174,SMALL(IF(Tracker!I$31:I$174=D31,ROW(Tracker!I$31:I$174)-ROW(INDEX(Tracker!I$31:I$174,1,1))+1),IF(D31=D30,IF(D31=D29,3,2),1)))</f>
        <v>Farm Loan Immediate Relief for Borrowers with At-Risk Agricultural Operations</v>
      </c>
      <c r="B31" s="42">
        <f>INDEX(Tracker!F$31:F$174,MATCH($A31,Tracker!$C$31:$C$174,0))</f>
        <v>3100</v>
      </c>
      <c r="C31" s="42" cm="1">
        <f t="array" ref="C31">INDEX(Tracker!H$31:H$174,SMALL(IF(Tracker!I$31:I$174=D31,ROW(Tracker!I$31:I$174)-ROW(INDEX(Tracker!I$31:I$174,1,1))+1),IF(D31=D30,2,1)))</f>
        <v>31</v>
      </c>
      <c r="D31" s="42">
        <f>LARGE(Tracker!I$31:I$174,ROWS($2:30))</f>
        <v>120</v>
      </c>
      <c r="E31" t="str">
        <f>INDEX(Tracker!D$31:D$174,MATCH($A31,Tracker!$C$31:$C$174,0))</f>
        <v>Spending</v>
      </c>
      <c r="F31" t="str">
        <f>INDEX(Tracker!E$31:E$174,MATCH($A31,Tracker!$C$31:$C$174,0))</f>
        <v>Discretionary</v>
      </c>
      <c r="G31" t="s">
        <v>690</v>
      </c>
      <c r="H31" s="10" t="str" cm="1">
        <f t="array" aca="1" ref="H31" ca="1">HYPERLINK(CELL("address",INDIRECT("Tracker!C"&amp;MATCH($A31,Tracker!$C:$C,0))),"Go_to_Tracker")</f>
        <v>Go_to_Tracker</v>
      </c>
    </row>
    <row r="32" spans="1:8">
      <c r="A32" t="str" cm="1">
        <f t="array" ref="A32">INDEX(Tracker!C$31:C$174,SMALL(IF(Tracker!I$31:I$174=D32,ROW(Tracker!I$31:I$174)-ROW(INDEX(Tracker!I$31:I$174,1,1))+1),IF(D32=D31,IF(D32=D30,3,2),1)))</f>
        <v>Environmental and Climate Justice Block Grants</v>
      </c>
      <c r="B32" s="42">
        <f>INDEX(Tracker!F$31:F$174,MATCH($A32,Tracker!$C$31:$C$174,0))</f>
        <v>3000</v>
      </c>
      <c r="C32" s="42" cm="1">
        <f t="array" ref="C32">INDEX(Tracker!H$31:H$174,SMALL(IF(Tracker!I$31:I$174=D32,ROW(Tracker!I$31:I$174)-ROW(INDEX(Tracker!I$31:I$174,1,1))+1),IF(D32=D31,2,1)))</f>
        <v>29</v>
      </c>
      <c r="D32" s="42">
        <f>LARGE(Tracker!I$31:I$174,ROWS($2:31))</f>
        <v>110</v>
      </c>
      <c r="E32" t="str">
        <f>INDEX(Tracker!D$31:D$174,MATCH($A32,Tracker!$C$31:$C$174,0))</f>
        <v>Spending</v>
      </c>
      <c r="F32" t="str">
        <f>INDEX(Tracker!E$31:E$174,MATCH($A32,Tracker!$C$31:$C$174,0))</f>
        <v>Competitive</v>
      </c>
      <c r="G32" t="s">
        <v>688</v>
      </c>
      <c r="H32" s="10" t="str" cm="1">
        <f t="array" aca="1" ref="H32" ca="1">HYPERLINK(CELL("address",INDIRECT("Tracker!C"&amp;MATCH($A32,Tracker!$C:$C,0))),"Go_to_Tracker")</f>
        <v>Go_to_Tracker</v>
      </c>
    </row>
    <row r="33" spans="1:8">
      <c r="A33" t="str" cm="1">
        <f t="array" ref="A33">INDEX(Tracker!C$31:C$174,SMALL(IF(Tracker!I$31:I$174=D33,ROW(Tracker!I$31:I$174)-ROW(INDEX(Tracker!I$31:I$174,1,1))+1),IF(D33=D32,IF(D33=D31,3,2),1)))</f>
        <v>High-Efficiency Electric Home Rebate Program</v>
      </c>
      <c r="B33" s="42">
        <f>INDEX(Tracker!F$31:F$174,MATCH($A33,Tracker!$C$31:$C$174,0))</f>
        <v>4500</v>
      </c>
      <c r="C33" s="42" cm="1">
        <f t="array" ref="C33">INDEX(Tracker!H$31:H$174,SMALL(IF(Tracker!I$31:I$174=D33,ROW(Tracker!I$31:I$174)-ROW(INDEX(Tracker!I$31:I$174,1,1))+1),IF(D33=D32,2,1)))</f>
        <v>95</v>
      </c>
      <c r="D33" s="42">
        <f>LARGE(Tracker!I$31:I$174,ROWS($2:32))</f>
        <v>107</v>
      </c>
      <c r="E33" t="str">
        <f>INDEX(Tracker!D$31:D$174,MATCH($A33,Tracker!$C$31:$C$174,0))</f>
        <v>Spending</v>
      </c>
      <c r="F33" t="str">
        <f>INDEX(Tracker!E$31:E$174,MATCH($A33,Tracker!$C$31:$C$174,0))</f>
        <v>Formula</v>
      </c>
      <c r="G33" t="s">
        <v>691</v>
      </c>
      <c r="H33" s="10" t="str" cm="1">
        <f t="array" aca="1" ref="H33" ca="1">HYPERLINK(CELL("address",INDIRECT("Tracker!C"&amp;MATCH($A33,Tracker!$C:$C,0))),"Go_to_Tracker")</f>
        <v>Go_to_Tracker</v>
      </c>
    </row>
    <row r="34" spans="1:8">
      <c r="A34" t="str" cm="1">
        <f t="array" ref="A34">INDEX(Tracker!C$31:C$174,SMALL(IF(Tracker!I$31:I$174=D34,ROW(Tracker!I$31:I$174)-ROW(INDEX(Tracker!I$31:I$174,1,1))+1),IF(D34=D33,IF(D34=D32,3,2),1)))</f>
        <v>Home Energy Performance-Based, Whole-House Rebates</v>
      </c>
      <c r="B34" s="42">
        <f>INDEX(Tracker!F$31:F$174,MATCH($A34,Tracker!$C$31:$C$174,0))</f>
        <v>4300</v>
      </c>
      <c r="C34" s="42" cm="1">
        <f t="array" ref="C34">INDEX(Tracker!H$31:H$174,SMALL(IF(Tracker!I$31:I$174=D34,ROW(Tracker!I$31:I$174)-ROW(INDEX(Tracker!I$31:I$174,1,1))+1),IF(D34=D33,2,1)))</f>
        <v>93</v>
      </c>
      <c r="D34" s="42">
        <f>LARGE(Tracker!I$31:I$174,ROWS($2:33))</f>
        <v>101</v>
      </c>
      <c r="E34" t="str">
        <f>INDEX(Tracker!D$31:D$174,MATCH($A34,Tracker!$C$31:$C$174,0))</f>
        <v>Spending</v>
      </c>
      <c r="F34" t="str">
        <f>INDEX(Tracker!E$31:E$174,MATCH($A34,Tracker!$C$31:$C$174,0))</f>
        <v>Formula</v>
      </c>
      <c r="G34" t="s">
        <v>691</v>
      </c>
      <c r="H34" s="10" t="str" cm="1">
        <f t="array" aca="1" ref="H34" ca="1">HYPERLINK(CELL("address",INDIRECT("Tracker!C"&amp;MATCH($A34,Tracker!$C:$C,0))),"Go_to_Tracker")</f>
        <v>Go_to_Tracker</v>
      </c>
    </row>
    <row r="35" spans="1:8">
      <c r="A35" t="str" cm="1">
        <f t="array" ref="A35">INDEX(Tracker!C$31:C$174,SMALL(IF(Tracker!I$31:I$174=D35,ROW(Tracker!I$31:I$174)-ROW(INDEX(Tracker!I$31:I$174,1,1))+1),IF(D35=D34,IF(D35=D33,3,2),1)))</f>
        <v>Extension and Modification of Credit for Carbon Oxide Sequestration</v>
      </c>
      <c r="B35" s="42">
        <f>INDEX(Tracker!F$31:F$174,MATCH($A35,Tracker!$C$31:$C$174,0))</f>
        <v>3229</v>
      </c>
      <c r="C35" s="42" cm="1">
        <f t="array" ref="C35">INDEX(Tracker!H$31:H$174,SMALL(IF(Tracker!I$31:I$174=D35,ROW(Tracker!I$31:I$174)-ROW(INDEX(Tracker!I$31:I$174,1,1))+1),IF(D35=D34,2,1)))</f>
        <v>40</v>
      </c>
      <c r="D35" s="42">
        <f>LARGE(Tracker!I$31:I$174,ROWS($2:34))</f>
        <v>100</v>
      </c>
      <c r="E35" t="str">
        <f>INDEX(Tracker!D$31:D$174,MATCH($A35,Tracker!$C$31:$C$174,0))</f>
        <v>Tax Credit</v>
      </c>
      <c r="F35" t="str">
        <f>INDEX(Tracker!E$31:E$174,MATCH($A35,Tracker!$C$31:$C$174,0))</f>
        <v>Entitlement</v>
      </c>
      <c r="G35" t="s">
        <v>686</v>
      </c>
      <c r="H35" s="10" t="str" cm="1">
        <f t="array" aca="1" ref="H35" ca="1">HYPERLINK(CELL("address",INDIRECT("Tracker!C"&amp;MATCH($A35,Tracker!$C:$C,0))),"Go_to_Tracker")</f>
        <v>Go_to_Tracker</v>
      </c>
    </row>
    <row r="36" spans="1:8">
      <c r="A36" t="str" cm="1">
        <f t="array" ref="A36">INDEX(Tracker!C$31:C$174,SMALL(IF(Tracker!I$31:I$174=D36,ROW(Tracker!I$31:I$174)-ROW(INDEX(Tracker!I$31:I$174,1,1))+1),IF(D36=D35,IF(D36=D34,3,2),1)))</f>
        <v>Domestic Manufacturing Conversion Grants</v>
      </c>
      <c r="B36" s="42">
        <f>INDEX(Tracker!F$31:F$174,MATCH($A36,Tracker!$C$31:$C$174,0))</f>
        <v>2000</v>
      </c>
      <c r="C36" s="42" cm="1">
        <f t="array" ref="C36">INDEX(Tracker!H$31:H$174,SMALL(IF(Tracker!I$31:I$174=D36,ROW(Tracker!I$31:I$174)-ROW(INDEX(Tracker!I$31:I$174,1,1))+1),IF(D36=D35,2,1)))</f>
        <v>0</v>
      </c>
      <c r="D36" s="42">
        <f>LARGE(Tracker!I$31:I$174,ROWS($2:35))</f>
        <v>100</v>
      </c>
      <c r="E36" t="str">
        <f>INDEX(Tracker!D$31:D$174,MATCH($A36,Tracker!$C$31:$C$174,0))</f>
        <v>Spending</v>
      </c>
      <c r="F36" t="str">
        <f>INDEX(Tracker!E$31:E$174,MATCH($A36,Tracker!$C$31:$C$174,0))</f>
        <v>Competitive</v>
      </c>
      <c r="G36" t="s">
        <v>675</v>
      </c>
      <c r="H36" s="10" t="str" cm="1">
        <f t="array" aca="1" ref="H36" ca="1">HYPERLINK(CELL("address",INDIRECT("Tracker!C"&amp;MATCH($A36,Tracker!$C:$C,0))),"Go_to_Tracker")</f>
        <v>Go_to_Tracker</v>
      </c>
    </row>
    <row r="37" spans="1:8">
      <c r="A37" t="str" cm="1">
        <f t="array" ref="A37">INDEX(Tracker!C$31:C$174,SMALL(IF(Tracker!I$31:I$174=D37,ROW(Tracker!I$31:I$174)-ROW(INDEX(Tracker!I$31:I$174,1,1))+1),IF(D37=D36,IF(D37=D35,3,2),1)))</f>
        <v>National Laboratory Infrastructure</v>
      </c>
      <c r="B37" s="42">
        <f>INDEX(Tracker!F$31:F$174,MATCH($A37,Tracker!$C$31:$C$174,0))</f>
        <v>2000</v>
      </c>
      <c r="C37" s="42" cm="1">
        <f t="array" ref="C37">INDEX(Tracker!H$31:H$174,SMALL(IF(Tracker!I$31:I$174=D37,ROW(Tracker!I$31:I$174)-ROW(INDEX(Tracker!I$31:I$174,1,1))+1),IF(D37=D36,2,1)))</f>
        <v>0</v>
      </c>
      <c r="D37" s="42">
        <f>LARGE(Tracker!I$31:I$174,ROWS($2:36))</f>
        <v>95</v>
      </c>
      <c r="E37" t="str">
        <f>INDEX(Tracker!D$31:D$174,MATCH($A37,Tracker!$C$31:$C$174,0))</f>
        <v>Spending</v>
      </c>
      <c r="F37" t="str">
        <f>INDEX(Tracker!E$31:E$174,MATCH($A37,Tracker!$C$31:$C$174,0))</f>
        <v>Discretionary</v>
      </c>
      <c r="G37" t="s">
        <v>692</v>
      </c>
      <c r="H37" s="10" t="str" cm="1">
        <f t="array" aca="1" ref="H37" ca="1">HYPERLINK(CELL("address",INDIRECT("Tracker!C"&amp;MATCH($A37,Tracker!$C:$C,0))),"Go_to_Tracker")</f>
        <v>Go_to_Tracker</v>
      </c>
    </row>
    <row r="38" spans="1:8">
      <c r="A38" t="str" cm="1">
        <f t="array" ref="A38">INDEX(Tracker!C$31:C$174,SMALL(IF(Tracker!I$31:I$174=D38,ROW(Tracker!I$31:I$174)-ROW(INDEX(Tracker!I$31:I$174,1,1))+1),IF(D38=D37,IF(D38=D36,3,2),1)))</f>
        <v>Clean Fuel Production Credit</v>
      </c>
      <c r="B38" s="42">
        <f>INDEX(Tracker!F$31:F$174,MATCH($A38,Tracker!$C$31:$C$174,0))</f>
        <v>2946</v>
      </c>
      <c r="C38" s="42" cm="1">
        <f t="array" ref="C38">INDEX(Tracker!H$31:H$174,SMALL(IF(Tracker!I$31:I$174=D38,ROW(Tracker!I$31:I$174)-ROW(INDEX(Tracker!I$31:I$174,1,1))+1),IF(D38=D37,2,1)))</f>
        <v>30</v>
      </c>
      <c r="D38" s="42">
        <f>LARGE(Tracker!I$31:I$174,ROWS($2:37))</f>
        <v>90</v>
      </c>
      <c r="E38" t="str">
        <f>INDEX(Tracker!D$31:D$174,MATCH($A38,Tracker!$C$31:$C$174,0))</f>
        <v>Tax Credit</v>
      </c>
      <c r="F38" t="str">
        <f>INDEX(Tracker!E$31:E$174,MATCH($A38,Tracker!$C$31:$C$174,0))</f>
        <v>Entitlement</v>
      </c>
      <c r="G38" t="s">
        <v>671</v>
      </c>
      <c r="H38" s="10" t="str" cm="1">
        <f t="array" aca="1" ref="H38" ca="1">HYPERLINK(CELL("address",INDIRECT("Tracker!C"&amp;MATCH($A38,Tracker!$C:$C,0))),"Go_to_Tracker")</f>
        <v>Go_to_Tracker</v>
      </c>
    </row>
    <row r="39" spans="1:8">
      <c r="A39" t="str" cm="1">
        <f t="array" ref="A39">INDEX(Tracker!C$31:C$174,SMALL(IF(Tracker!I$31:I$174=D39,ROW(Tracker!I$31:I$174)-ROW(INDEX(Tracker!I$31:I$174,1,1))+1),IF(D39=D38,IF(D39=D37,3,2),1)))</f>
        <v>General Services Administration Emerging Technologies</v>
      </c>
      <c r="B39" s="42">
        <f>INDEX(Tracker!F$31:F$174,MATCH($A39,Tracker!$C$31:$C$174,0))</f>
        <v>975</v>
      </c>
      <c r="C39" s="42" cm="1">
        <f t="array" ref="C39">INDEX(Tracker!H$31:H$174,SMALL(IF(Tracker!I$31:I$174=D39,ROW(Tracker!I$31:I$174)-ROW(INDEX(Tracker!I$31:I$174,1,1))+1),IF(D39=D38,2,1)))</f>
        <v>5</v>
      </c>
      <c r="D39" s="42">
        <f>LARGE(Tracker!I$31:I$174,ROWS($2:38))</f>
        <v>90</v>
      </c>
      <c r="E39" t="str">
        <f>INDEX(Tracker!D$31:D$174,MATCH($A39,Tracker!$C$31:$C$174,0))</f>
        <v>Spending</v>
      </c>
      <c r="F39" t="str">
        <f>INDEX(Tracker!E$31:E$174,MATCH($A39,Tracker!$C$31:$C$174,0))</f>
        <v>N/A</v>
      </c>
      <c r="G39" t="s">
        <v>691</v>
      </c>
      <c r="H39" s="10" t="str" cm="1">
        <f t="array" aca="1" ref="H39" ca="1">HYPERLINK(CELL("address",INDIRECT("Tracker!C"&amp;MATCH($A39,Tracker!$C:$C,0))),"Go_to_Tracker")</f>
        <v>Go_to_Tracker</v>
      </c>
    </row>
    <row r="40" spans="1:8">
      <c r="A40" t="str" cm="1">
        <f t="array" ref="A40">INDEX(Tracker!C$31:C$174,SMALL(IF(Tracker!I$31:I$174=D40,ROW(Tracker!I$31:I$174)-ROW(INDEX(Tracker!I$31:I$174,1,1))+1),IF(D40=D39,IF(D40=D38,3,2),1)))</f>
        <v>Extension, Increase, and Modifications of New Energy Efficient Home Credit</v>
      </c>
      <c r="B40" s="42">
        <f>INDEX(Tracker!F$31:F$174,MATCH($A40,Tracker!$C$31:$C$174,0))</f>
        <v>2043</v>
      </c>
      <c r="C40" s="42" cm="1">
        <f t="array" ref="C40">INDEX(Tracker!H$31:H$174,SMALL(IF(Tracker!I$31:I$174=D40,ROW(Tracker!I$31:I$174)-ROW(INDEX(Tracker!I$31:I$174,1,1))+1),IF(D40=D39,2,1)))</f>
        <v>41</v>
      </c>
      <c r="D40" s="42">
        <f>LARGE(Tracker!I$31:I$174,ROWS($2:39))</f>
        <v>82</v>
      </c>
      <c r="E40" t="str">
        <f>INDEX(Tracker!D$31:D$174,MATCH($A40,Tracker!$C$31:$C$174,0))</f>
        <v>Tax Credit</v>
      </c>
      <c r="F40" t="str">
        <f>INDEX(Tracker!E$31:E$174,MATCH($A40,Tracker!$C$31:$C$174,0))</f>
        <v>Entitlement</v>
      </c>
      <c r="G40" t="s">
        <v>691</v>
      </c>
      <c r="H40" s="10" t="str" cm="1">
        <f t="array" aca="1" ref="H40" ca="1">HYPERLINK(CELL("address",INDIRECT("Tracker!C"&amp;MATCH($A40,Tracker!$C:$C,0))),"Go_to_Tracker")</f>
        <v>Go_to_Tracker</v>
      </c>
    </row>
    <row r="41" spans="1:8">
      <c r="A41" t="str" cm="1">
        <f t="array" ref="A41">INDEX(Tracker!C$31:C$174,SMALL(IF(Tracker!I$31:I$174=D41,ROW(Tracker!I$31:I$174)-ROW(INDEX(Tracker!I$31:I$174,1,1))+1),IF(D41=D40,IF(D41=D39,3,2),1)))</f>
        <v>Biofuel Infrastructure and Agriculture Product Market Expansion</v>
      </c>
      <c r="B41" s="42">
        <f>INDEX(Tracker!F$31:F$174,MATCH($A41,Tracker!$C$31:$C$174,0))</f>
        <v>500</v>
      </c>
      <c r="C41" s="42" cm="1">
        <f t="array" ref="C41">INDEX(Tracker!H$31:H$174,SMALL(IF(Tracker!I$31:I$174=D41,ROW(Tracker!I$31:I$174)-ROW(INDEX(Tracker!I$31:I$174,1,1))+1),IF(D41=D40,2,1)))</f>
        <v>40</v>
      </c>
      <c r="D41" s="42">
        <f>LARGE(Tracker!I$31:I$174,ROWS($2:40))</f>
        <v>80</v>
      </c>
      <c r="E41" t="str">
        <f>INDEX(Tracker!D$31:D$174,MATCH($A41,Tracker!$C$31:$C$174,0))</f>
        <v>Spending</v>
      </c>
      <c r="F41" t="str">
        <f>INDEX(Tracker!E$31:E$174,MATCH($A41,Tracker!$C$31:$C$174,0))</f>
        <v>Competitive</v>
      </c>
      <c r="G41" t="s">
        <v>671</v>
      </c>
      <c r="H41" s="10" t="str" cm="1">
        <f t="array" aca="1" ref="H41" ca="1">HYPERLINK(CELL("address",INDIRECT("Tracker!C"&amp;MATCH($A41,Tracker!$C:$C,0))),"Go_to_Tracker")</f>
        <v>Go_to_Tracker</v>
      </c>
    </row>
    <row r="42" spans="1:8">
      <c r="A42" t="str" cm="1">
        <f t="array" ref="A42">INDEX(Tracker!C$31:C$174,SMALL(IF(Tracker!I$31:I$174=D42,ROW(Tracker!I$31:I$174)-ROW(INDEX(Tracker!I$31:I$174,1,1))+1),IF(D42=D41,IF(D42=D40,3,2),1)))</f>
        <v>State and Private Forestry Conservation Programs</v>
      </c>
      <c r="B42" s="42">
        <f>INDEX(Tracker!F$31:F$174,MATCH($A42,Tracker!$C$31:$C$174,0))</f>
        <v>2000</v>
      </c>
      <c r="C42" s="42" cm="1">
        <f t="array" ref="C42">INDEX(Tracker!H$31:H$174,SMALL(IF(Tracker!I$31:I$174=D42,ROW(Tracker!I$31:I$174)-ROW(INDEX(Tracker!I$31:I$174,1,1))+1),IF(D42=D41,2,1)))</f>
        <v>40</v>
      </c>
      <c r="D42" s="42">
        <f>LARGE(Tracker!I$31:I$174,ROWS($2:41))</f>
        <v>80</v>
      </c>
      <c r="E42" t="str">
        <f>INDEX(Tracker!D$31:D$174,MATCH($A42,Tracker!$C$31:$C$174,0))</f>
        <v>Spending</v>
      </c>
      <c r="F42" t="str">
        <f>INDEX(Tracker!E$31:E$174,MATCH($A42,Tracker!$C$31:$C$174,0))</f>
        <v>Competitive</v>
      </c>
      <c r="G42" t="s">
        <v>677</v>
      </c>
      <c r="H42" s="10" t="str" cm="1">
        <f t="array" aca="1" ref="H42" ca="1">HYPERLINK(CELL("address",INDIRECT("Tracker!C"&amp;MATCH($A42,Tracker!$C:$C,0))),"Go_to_Tracker")</f>
        <v>Go_to_Tracker</v>
      </c>
    </row>
    <row r="43" spans="1:8">
      <c r="A43" t="str" cm="1">
        <f t="array" ref="A43">INDEX(Tracker!C$31:C$174,SMALL(IF(Tracker!I$31:I$174=D43,ROW(Tracker!I$31:I$174)-ROW(INDEX(Tracker!I$31:I$174,1,1))+1),IF(D43=D42,IF(D43=D41,3,2),1)))</f>
        <v>Investing in Coastal Communities and Climate Resilience</v>
      </c>
      <c r="B43" s="42">
        <f>INDEX(Tracker!F$31:F$174,MATCH($A43,Tracker!$C$31:$C$174,0))</f>
        <v>2550</v>
      </c>
      <c r="C43" s="42" cm="1">
        <f t="array" ref="C43">INDEX(Tracker!H$31:H$174,SMALL(IF(Tracker!I$31:I$174=D43,ROW(Tracker!I$31:I$174)-ROW(INDEX(Tracker!I$31:I$174,1,1))+1),IF(D43=D42,2,1)))</f>
        <v>25</v>
      </c>
      <c r="D43" s="42">
        <f>LARGE(Tracker!I$31:I$174,ROWS($2:42))</f>
        <v>76</v>
      </c>
      <c r="E43" t="str">
        <f>INDEX(Tracker!D$31:D$174,MATCH($A43,Tracker!$C$31:$C$174,0))</f>
        <v>Spending</v>
      </c>
      <c r="F43" t="str">
        <f>INDEX(Tracker!E$31:E$174,MATCH($A43,Tracker!$C$31:$C$174,0))</f>
        <v>Formula/Competitive</v>
      </c>
      <c r="G43" t="s">
        <v>677</v>
      </c>
      <c r="H43" s="10" t="str" cm="1">
        <f t="array" aca="1" ref="H43" ca="1">HYPERLINK(CELL("address",INDIRECT("Tracker!C"&amp;MATCH($A43,Tracker!$C:$C,0))),"Go_to_Tracker")</f>
        <v>Go_to_Tracker</v>
      </c>
    </row>
    <row r="44" spans="1:8">
      <c r="A44" t="str" cm="1">
        <f t="array" ref="A44">INDEX(Tracker!C$31:C$174,SMALL(IF(Tracker!I$31:I$174=D44,ROW(Tracker!I$31:I$174)-ROW(INDEX(Tracker!I$31:I$174,1,1))+1),IF(D44=D43,IF(D44=D42,3,2),1)))</f>
        <v>Transmission Facility Financing</v>
      </c>
      <c r="B44" s="42">
        <f>INDEX(Tracker!F$31:F$174,MATCH($A44,Tracker!$C$31:$C$174,0))</f>
        <v>2000</v>
      </c>
      <c r="C44" s="42" cm="1">
        <f t="array" ref="C44">INDEX(Tracker!H$31:H$174,SMALL(IF(Tracker!I$31:I$174=D44,ROW(Tracker!I$31:I$174)-ROW(INDEX(Tracker!I$31:I$174,1,1))+1),IF(D44=D43,2,1)))</f>
        <v>29</v>
      </c>
      <c r="D44" s="42">
        <f>LARGE(Tracker!I$31:I$174,ROWS($2:43))</f>
        <v>76</v>
      </c>
      <c r="E44" t="str">
        <f>INDEX(Tracker!D$31:D$174,MATCH($A44,Tracker!$C$31:$C$174,0))</f>
        <v>Loans</v>
      </c>
      <c r="F44" t="str">
        <f>INDEX(Tracker!E$31:E$174,MATCH($A44,Tracker!$C$31:$C$174,0))</f>
        <v>Competitive</v>
      </c>
      <c r="G44" t="s">
        <v>671</v>
      </c>
      <c r="H44" s="10" t="str" cm="1">
        <f t="array" aca="1" ref="H44" ca="1">HYPERLINK(CELL("address",INDIRECT("Tracker!C"&amp;MATCH($A44,Tracker!$C:$C,0))),"Go_to_Tracker")</f>
        <v>Go_to_Tracker</v>
      </c>
    </row>
    <row r="45" spans="1:8">
      <c r="A45" t="str" cm="1">
        <f t="array" ref="A45">INDEX(Tracker!C$31:C$174,SMALL(IF(Tracker!I$31:I$174=D45,ROW(Tracker!I$31:I$174)-ROW(INDEX(Tracker!I$31:I$174,1,1))+1),IF(D45=D44,IF(D45=D43,3,2),1)))</f>
        <v>Alternative Fuel Refueling Property Credit</v>
      </c>
      <c r="B45" s="42">
        <f>INDEX(Tracker!F$31:F$174,MATCH($A45,Tracker!$C$31:$C$174,0))</f>
        <v>1738</v>
      </c>
      <c r="C45" s="42" cm="1">
        <f t="array" ref="C45">INDEX(Tracker!H$31:H$174,SMALL(IF(Tracker!I$31:I$174=D45,ROW(Tracker!I$31:I$174)-ROW(INDEX(Tracker!I$31:I$174,1,1))+1),IF(D45=D44,2,1)))</f>
        <v>30</v>
      </c>
      <c r="D45" s="42">
        <f>LARGE(Tracker!I$31:I$174,ROWS($2:44))</f>
        <v>70</v>
      </c>
      <c r="E45" t="str">
        <f>INDEX(Tracker!D$31:D$174,MATCH($A45,Tracker!$C$31:$C$174,0))</f>
        <v>Tax Credit</v>
      </c>
      <c r="F45" t="str">
        <f>INDEX(Tracker!E$31:E$174,MATCH($A45,Tracker!$C$31:$C$174,0))</f>
        <v>Entitlement</v>
      </c>
      <c r="G45" t="s">
        <v>687</v>
      </c>
      <c r="H45" s="10" t="str" cm="1">
        <f t="array" aca="1" ref="H45" ca="1">HYPERLINK(CELL("address",INDIRECT("Tracker!C"&amp;MATCH($A45,Tracker!$C:$C,0))),"Go_to_Tracker")</f>
        <v>Go_to_Tracker</v>
      </c>
    </row>
    <row r="46" spans="1:8">
      <c r="A46" t="str" cm="1">
        <f t="array" ref="A46">INDEX(Tracker!C$31:C$174,SMALL(IF(Tracker!I$31:I$174=D46,ROW(Tracker!I$31:I$174)-ROW(INDEX(Tracker!I$31:I$174,1,1))+1),IF(D46=D45,IF(D46=D44,3,2),1)))</f>
        <v>USPS Clean Fleets</v>
      </c>
      <c r="B46" s="42">
        <f>INDEX(Tracker!F$31:F$174,MATCH($A46,Tracker!$C$31:$C$174,0))</f>
        <v>3000</v>
      </c>
      <c r="C46" s="42" cm="1">
        <f t="array" ref="C46">INDEX(Tracker!H$31:H$174,SMALL(IF(Tracker!I$31:I$174=D46,ROW(Tracker!I$31:I$174)-ROW(INDEX(Tracker!I$31:I$174,1,1))+1),IF(D46=D45,2,1)))</f>
        <v>30</v>
      </c>
      <c r="D46" s="42">
        <f>LARGE(Tracker!I$31:I$174,ROWS($2:45))</f>
        <v>70</v>
      </c>
      <c r="E46" t="str">
        <f>INDEX(Tracker!D$31:D$174,MATCH($A46,Tracker!$C$31:$C$174,0))</f>
        <v>Spending</v>
      </c>
      <c r="F46" t="str">
        <f>INDEX(Tracker!E$31:E$174,MATCH($A46,Tracker!$C$31:$C$174,0))</f>
        <v>Discretionary</v>
      </c>
      <c r="G46" t="s">
        <v>687</v>
      </c>
      <c r="H46" s="10" t="str" cm="1">
        <f t="array" aca="1" ref="H46" ca="1">HYPERLINK(CELL("address",INDIRECT("Tracker!C"&amp;MATCH($A46,Tracker!$C:$C,0))),"Go_to_Tracker")</f>
        <v>Go_to_Tracker</v>
      </c>
    </row>
    <row r="47" spans="1:8">
      <c r="A47" t="str" cm="1">
        <f t="array" ref="A47">INDEX(Tracker!C$31:C$174,SMALL(IF(Tracker!I$31:I$174=D47,ROW(Tracker!I$31:I$174)-ROW(INDEX(Tracker!I$31:I$174,1,1))+1),IF(D47=D46,IF(D47=D45,3,2),1)))</f>
        <v>USDA Assistance and Support for Underserved Farmers, Ranchers, and Foresters</v>
      </c>
      <c r="B47" s="42">
        <f>INDEX(Tracker!F$31:F$174,MATCH($A47,Tracker!$C$31:$C$174,0))</f>
        <v>1929</v>
      </c>
      <c r="C47" s="42" cm="1">
        <f t="array" ref="C47">INDEX(Tracker!H$31:H$174,SMALL(IF(Tracker!I$31:I$174=D47,ROW(Tracker!I$31:I$174)-ROW(INDEX(Tracker!I$31:I$174,1,1))+1),IF(D47=D46,2,1)))</f>
        <v>29</v>
      </c>
      <c r="D47" s="42">
        <f>LARGE(Tracker!I$31:I$174,ROWS($2:46))</f>
        <v>58</v>
      </c>
      <c r="E47" t="str">
        <f>INDEX(Tracker!D$31:D$174,MATCH($A47,Tracker!$C$31:$C$174,0))</f>
        <v>Spending</v>
      </c>
      <c r="F47" t="str">
        <f>INDEX(Tracker!E$31:E$174,MATCH($A47,Tracker!$C$31:$C$174,0))</f>
        <v>Discretionary</v>
      </c>
      <c r="G47" t="s">
        <v>690</v>
      </c>
      <c r="H47" s="10" t="str" cm="1">
        <f t="array" aca="1" ref="H47" ca="1">HYPERLINK(CELL("address",INDIRECT("Tracker!C"&amp;MATCH($A47,Tracker!$C:$C,0))),"Go_to_Tracker")</f>
        <v>Go_to_Tracker</v>
      </c>
    </row>
    <row r="48" spans="1:8">
      <c r="A48" t="str" cm="1">
        <f t="array" ref="A48">INDEX(Tracker!C$31:C$174,SMALL(IF(Tracker!I$31:I$174=D48,ROW(Tracker!I$31:I$174)-ROW(INDEX(Tracker!I$31:I$174,1,1))+1),IF(D48=D47,IF(D48=D46,3,2),1)))</f>
        <v>Credit for Previously-owned Clean Vehicles</v>
      </c>
      <c r="B48" s="42">
        <f>INDEX(Tracker!F$31:F$174,MATCH($A48,Tracker!$C$31:$C$174,0))</f>
        <v>1347</v>
      </c>
      <c r="C48" s="42" cm="1">
        <f t="array" ref="C48">INDEX(Tracker!H$31:H$174,SMALL(IF(Tracker!I$31:I$174=D48,ROW(Tracker!I$31:I$174)-ROW(INDEX(Tracker!I$31:I$174,1,1))+1),IF(D48=D47,2,1)))</f>
        <v>30</v>
      </c>
      <c r="D48" s="42">
        <f>LARGE(Tracker!I$31:I$174,ROWS($2:47))</f>
        <v>50</v>
      </c>
      <c r="E48" t="str">
        <f>INDEX(Tracker!D$31:D$174,MATCH($A48,Tracker!$C$31:$C$174,0))</f>
        <v>Tax Credit</v>
      </c>
      <c r="F48" t="str">
        <f>INDEX(Tracker!E$31:E$174,MATCH($A48,Tracker!$C$31:$C$174,0))</f>
        <v>Entitlement</v>
      </c>
      <c r="G48" t="s">
        <v>687</v>
      </c>
      <c r="H48" s="10" t="str" cm="1">
        <f t="array" aca="1" ref="H48" ca="1">HYPERLINK(CELL("address",INDIRECT("Tracker!C"&amp;MATCH($A48,Tracker!$C:$C,0))),"Go_to_Tracker")</f>
        <v>Go_to_Tracker</v>
      </c>
    </row>
    <row r="49" spans="1:8">
      <c r="A49" t="str" cm="1">
        <f t="array" ref="A49">INDEX(Tracker!C$31:C$174,SMALL(IF(Tracker!I$31:I$174=D49,ROW(Tracker!I$31:I$174)-ROW(INDEX(Tracker!I$31:I$174,1,1))+1),IF(D49=D48,IF(D49=D47,3,2),1)))</f>
        <v>Enhanced use of Defense Production Act</v>
      </c>
      <c r="B49" s="42">
        <f>INDEX(Tracker!F$31:F$174,MATCH($A49,Tracker!$C$31:$C$174,0))</f>
        <v>475</v>
      </c>
      <c r="C49" s="42" cm="1">
        <f t="array" ref="C49">INDEX(Tracker!H$31:H$174,SMALL(IF(Tracker!I$31:I$174=D49,ROW(Tracker!I$31:I$174)-ROW(INDEX(Tracker!I$31:I$174,1,1))+1),IF(D49=D48,2,1)))</f>
        <v>0</v>
      </c>
      <c r="D49" s="42">
        <f>LARGE(Tracker!I$31:I$174,ROWS($2:48))</f>
        <v>50</v>
      </c>
      <c r="E49" t="str">
        <f>INDEX(Tracker!D$31:D$174,MATCH($A49,Tracker!$C$31:$C$174,0))</f>
        <v>Spending</v>
      </c>
      <c r="F49" t="str">
        <f>INDEX(Tracker!E$31:E$174,MATCH($A49,Tracker!$C$31:$C$174,0))</f>
        <v>N/A</v>
      </c>
      <c r="G49" t="s">
        <v>675</v>
      </c>
      <c r="H49" s="10" t="str" cm="1">
        <f t="array" aca="1" ref="H49" ca="1">HYPERLINK(CELL("address",INDIRECT("Tracker!C"&amp;MATCH($A49,Tracker!$C:$C,0))),"Go_to_Tracker")</f>
        <v>Go_to_Tracker</v>
      </c>
    </row>
    <row r="50" spans="1:8">
      <c r="A50" t="str" cm="1">
        <f t="array" ref="A50">INDEX(Tracker!C$31:C$174,SMALL(IF(Tracker!I$31:I$174=D50,ROW(Tracker!I$31:I$174)-ROW(INDEX(Tracker!I$31:I$174,1,1))+1),IF(D50=D49,IF(D50=D48,3,2),1)))</f>
        <v>Assistance for Latest and Zero Building Energy Code Adoption</v>
      </c>
      <c r="B50" s="42">
        <f>INDEX(Tracker!F$31:F$174,MATCH($A50,Tracker!$C$31:$C$174,0))</f>
        <v>1000</v>
      </c>
      <c r="C50" s="42" cm="1">
        <f t="array" ref="C50">INDEX(Tracker!H$31:H$174,SMALL(IF(Tracker!I$31:I$174=D50,ROW(Tracker!I$31:I$174)-ROW(INDEX(Tracker!I$31:I$174,1,1))+1),IF(D50=D49,2,1)))</f>
        <v>0</v>
      </c>
      <c r="D50" s="42">
        <f>LARGE(Tracker!I$31:I$174,ROWS($2:49))</f>
        <v>48</v>
      </c>
      <c r="E50" t="str">
        <f>INDEX(Tracker!D$31:D$174,MATCH($A50,Tracker!$C$31:$C$174,0))</f>
        <v>Spending</v>
      </c>
      <c r="F50" t="str">
        <f>INDEX(Tracker!E$31:E$174,MATCH($A50,Tracker!$C$31:$C$174,0))</f>
        <v>Discretionary</v>
      </c>
      <c r="G50" t="s">
        <v>691</v>
      </c>
      <c r="H50" s="10" t="str" cm="1">
        <f t="array" aca="1" ref="H50" ca="1">HYPERLINK(CELL("address",INDIRECT("Tracker!C"&amp;MATCH($A50,Tracker!$C:$C,0))),"Go_to_Tracker")</f>
        <v>Go_to_Tracker</v>
      </c>
    </row>
    <row r="51" spans="1:8">
      <c r="A51" t="str" cm="1">
        <f t="array" ref="A51">INDEX(Tracker!C$31:C$174,SMALL(IF(Tracker!I$31:I$174=D51,ROW(Tracker!I$31:I$174)-ROW(INDEX(Tracker!I$31:I$174,1,1))+1),IF(D51=D50,IF(D51=D49,3,2),1)))</f>
        <v>Conservation Technical Assistance</v>
      </c>
      <c r="B51" s="42">
        <f>INDEX(Tracker!F$31:F$174,MATCH($A51,Tracker!$C$31:$C$174,0))</f>
        <v>1400</v>
      </c>
      <c r="C51" s="42" cm="1">
        <f t="array" ref="C51">INDEX(Tracker!H$31:H$174,SMALL(IF(Tracker!I$31:I$174=D51,ROW(Tracker!I$31:I$174)-ROW(INDEX(Tracker!I$31:I$174,1,1))+1),IF(D51=D50,2,1)))</f>
        <v>14</v>
      </c>
      <c r="D51" s="42">
        <f>LARGE(Tracker!I$31:I$174,ROWS($2:50))</f>
        <v>42</v>
      </c>
      <c r="E51" t="str">
        <f>INDEX(Tracker!D$31:D$174,MATCH($A51,Tracker!$C$31:$C$174,0))</f>
        <v>Spending</v>
      </c>
      <c r="F51" t="str">
        <f>INDEX(Tracker!E$31:E$174,MATCH($A51,Tracker!$C$31:$C$174,0))</f>
        <v>Discretionary</v>
      </c>
      <c r="G51" t="s">
        <v>677</v>
      </c>
      <c r="H51" s="10" t="str" cm="1">
        <f t="array" aca="1" ref="H51" ca="1">HYPERLINK(CELL("address",INDIRECT("Tracker!C"&amp;MATCH($A51,Tracker!$C:$C,0))),"Go_to_Tracker")</f>
        <v>Go_to_Tracker</v>
      </c>
    </row>
    <row r="52" spans="1:8">
      <c r="A52" t="str" cm="1">
        <f t="array" ref="A52">INDEX(Tracker!C$31:C$174,SMALL(IF(Tracker!I$31:I$174=D52,ROW(Tracker!I$31:I$174)-ROW(INDEX(Tracker!I$31:I$174,1,1))+1),IF(D52=D51,IF(D52=D50,3,2),1)))</f>
        <v>Availability of High-Assay Low-Enriched Uranium</v>
      </c>
      <c r="B52" s="42">
        <f>INDEX(Tracker!F$31:F$174,MATCH($A52,Tracker!$C$31:$C$174,0))</f>
        <v>700</v>
      </c>
      <c r="C52" s="42" cm="1">
        <f t="array" ref="C52">INDEX(Tracker!H$31:H$174,SMALL(IF(Tracker!I$31:I$174=D52,ROW(Tracker!I$31:I$174)-ROW(INDEX(Tracker!I$31:I$174,1,1))+1),IF(D52=D51,2,1)))</f>
        <v>0</v>
      </c>
      <c r="D52" s="42">
        <f>LARGE(Tracker!I$31:I$174,ROWS($2:51))</f>
        <v>33</v>
      </c>
      <c r="E52" t="str">
        <f>INDEX(Tracker!D$31:D$174,MATCH($A52,Tracker!$C$31:$C$174,0))</f>
        <v>Spending</v>
      </c>
      <c r="F52" t="str">
        <f>INDEX(Tracker!E$31:E$174,MATCH($A52,Tracker!$C$31:$C$174,0))</f>
        <v>Competitive</v>
      </c>
      <c r="G52" t="s">
        <v>692</v>
      </c>
      <c r="H52" s="10" t="str" cm="1">
        <f t="array" aca="1" ref="H52" ca="1">HYPERLINK(CELL("address",INDIRECT("Tracker!C"&amp;MATCH($A52,Tracker!$C:$C,0))),"Go_to_Tracker")</f>
        <v>Go_to_Tracker</v>
      </c>
    </row>
  </sheetData>
  <autoFilter ref="A2:H51" xr:uid="{FF116AED-E15E-4E71-A23C-D463893A0D77}"/>
  <mergeCells count="1">
    <mergeCell ref="C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3c4f76c-0eb2-4689-9f14-e5bb140057a5">
      <UserInfo>
        <DisplayName/>
        <AccountId xsi:nil="true"/>
        <AccountType/>
      </UserInfo>
    </SharedWithUsers>
    <lcf76f155ced4ddcb4097134ff3c332f xmlns="b182a6fd-0b0a-4dd6-9b08-495f7c06f16a">
      <Terms xmlns="http://schemas.microsoft.com/office/infopath/2007/PartnerControls"/>
    </lcf76f155ced4ddcb4097134ff3c332f>
    <TaxCatchAll xmlns="93c4f76c-0eb2-4689-9f14-e5bb140057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096BA58794C4091793303FB72D693" ma:contentTypeVersion="16" ma:contentTypeDescription="Create a new document." ma:contentTypeScope="" ma:versionID="1982828ea969f54873557a14ae460780">
  <xsd:schema xmlns:xsd="http://www.w3.org/2001/XMLSchema" xmlns:xs="http://www.w3.org/2001/XMLSchema" xmlns:p="http://schemas.microsoft.com/office/2006/metadata/properties" xmlns:ns2="b182a6fd-0b0a-4dd6-9b08-495f7c06f16a" xmlns:ns3="93c4f76c-0eb2-4689-9f14-e5bb140057a5" targetNamespace="http://schemas.microsoft.com/office/2006/metadata/properties" ma:root="true" ma:fieldsID="485b9520e4d8c8a2e289b13629efc493" ns2:_="" ns3:_="">
    <xsd:import namespace="b182a6fd-0b0a-4dd6-9b08-495f7c06f16a"/>
    <xsd:import namespace="93c4f76c-0eb2-4689-9f14-e5bb140057a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82a6fd-0b0a-4dd6-9b08-495f7c06f1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c4f76c-0eb2-4689-9f14-e5bb140057a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85a5da9-6b86-45ba-bfb2-c92968ef7e0f}" ma:internalName="TaxCatchAll" ma:showField="CatchAllData" ma:web="93c4f76c-0eb2-4689-9f14-e5bb140057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F7B6D2-BFB7-4605-A0AB-2FCF66F71496}"/>
</file>

<file path=customXml/itemProps2.xml><?xml version="1.0" encoding="utf-8"?>
<ds:datastoreItem xmlns:ds="http://schemas.openxmlformats.org/officeDocument/2006/customXml" ds:itemID="{CCA5B1BC-E917-464A-9376-0ACD6DB58A1F}"/>
</file>

<file path=customXml/itemProps3.xml><?xml version="1.0" encoding="utf-8"?>
<ds:datastoreItem xmlns:ds="http://schemas.openxmlformats.org/officeDocument/2006/customXml" ds:itemID="{322AC53D-099C-4D9F-B5A0-89F8DA97B71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McLenaghan, Ed</dc:creator>
  <cp:keywords/>
  <dc:description/>
  <cp:lastModifiedBy/>
  <cp:revision/>
  <dcterms:created xsi:type="dcterms:W3CDTF">2022-08-24T18:40:00Z</dcterms:created>
  <dcterms:modified xsi:type="dcterms:W3CDTF">2023-09-01T16:41:58Z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0x0101004FC096BA58794C4091793303FB72D693</vt:lpwstr>
  </property>
  <property fmtid="{D5CDD505-2E9C-101B-9397-08002B2CF9AE}" pid="3" name="Order">
    <vt:r8>2137200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ediaServiceImageTags">
    <vt:lpwstr/>
  </property>
</Properties>
</file>